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updateLinks="never"/>
  <mc:AlternateContent xmlns:mc="http://schemas.openxmlformats.org/markup-compatibility/2006">
    <mc:Choice Requires="x15">
      <x15ac:absPath xmlns:x15ac="http://schemas.microsoft.com/office/spreadsheetml/2010/11/ac" url="C:\Users\George Matz\OneDrive\Documents\Kachemak Bay Birders\2019 Shorebird Monitoring\"/>
    </mc:Choice>
  </mc:AlternateContent>
  <xr:revisionPtr revIDLastSave="1035" documentId="14_{C6E6CE3E-F191-4032-8E35-DE4E570CA00F}" xr6:coauthVersionLast="45" xr6:coauthVersionMax="45" xr10:uidLastSave="{383A6330-D638-4F24-BCBB-AEFE8A102F96}"/>
  <bookViews>
    <workbookView xWindow="-98" yWindow="-98" windowWidth="20715" windowHeight="13276" tabRatio="598" xr2:uid="{00000000-000D-0000-FFFF-FFFF00000000}"/>
  </bookViews>
  <sheets>
    <sheet name="Homer Spit 2019" sheetId="1" r:id="rId1"/>
    <sheet name="Anchor-Kasilof 2019" sheetId="8" r:id="rId2"/>
    <sheet name="Supplemental Data for 2019" sheetId="4" r:id="rId3"/>
    <sheet name="Supplemental Charts 2019" sheetId="10" r:id="rId4"/>
    <sheet name="Homer Spit All Years" sheetId="3" r:id="rId5"/>
    <sheet name="Anchor-Kasilof All Years" sheetId="9" r:id="rId6"/>
    <sheet name="Historic Comparison" sheetId="5"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35" i="5" l="1"/>
  <c r="AQ34" i="5"/>
  <c r="AQ33" i="5"/>
  <c r="AQ32" i="5"/>
  <c r="AQ31" i="5"/>
  <c r="AQ30" i="5"/>
  <c r="AQ29" i="5"/>
  <c r="AQ28" i="5"/>
  <c r="AQ27" i="5"/>
  <c r="AQ26" i="5"/>
  <c r="AQ25" i="5"/>
  <c r="AQ24" i="5"/>
  <c r="AQ23" i="5"/>
  <c r="AQ22" i="5"/>
  <c r="AQ21" i="5"/>
  <c r="AQ20" i="5"/>
  <c r="AQ19" i="5"/>
  <c r="AQ18" i="5"/>
  <c r="AQ17" i="5"/>
  <c r="AQ16" i="5"/>
  <c r="AQ15" i="5"/>
  <c r="AQ14" i="5"/>
  <c r="AQ13" i="5"/>
  <c r="AQ12" i="5"/>
  <c r="AQ11" i="5"/>
  <c r="AQ10" i="5"/>
  <c r="AQ9" i="5"/>
  <c r="AQ8" i="5"/>
  <c r="AQ7" i="5"/>
  <c r="AQ6" i="5"/>
  <c r="AQ5" i="5"/>
  <c r="AP35" i="5"/>
  <c r="AP34" i="5"/>
  <c r="AP33" i="5"/>
  <c r="AP32" i="5"/>
  <c r="AP31" i="5"/>
  <c r="AP30" i="5"/>
  <c r="AP29" i="5"/>
  <c r="AP28" i="5"/>
  <c r="AP27" i="5"/>
  <c r="AP26" i="5"/>
  <c r="AP25" i="5"/>
  <c r="AP24" i="5"/>
  <c r="AP23" i="5"/>
  <c r="AP22" i="5"/>
  <c r="AP21" i="5"/>
  <c r="AP20" i="5"/>
  <c r="AP19" i="5"/>
  <c r="AP18" i="5"/>
  <c r="AP17" i="5"/>
  <c r="AP16" i="5"/>
  <c r="AP15" i="5"/>
  <c r="AP14" i="5"/>
  <c r="AP13" i="5"/>
  <c r="AP12" i="5"/>
  <c r="AP11" i="5"/>
  <c r="AP10" i="5"/>
  <c r="AP9" i="5"/>
  <c r="AP8" i="5"/>
  <c r="AP7" i="5"/>
  <c r="AP6" i="5"/>
  <c r="AP5" i="5"/>
  <c r="AQ55" i="10" l="1"/>
  <c r="AP55" i="10"/>
  <c r="AO55" i="10"/>
  <c r="AN55" i="10"/>
  <c r="AM55" i="10"/>
  <c r="AL55" i="10"/>
  <c r="AK55" i="10"/>
  <c r="AJ55" i="10"/>
  <c r="AI55" i="10"/>
  <c r="AH55" i="10"/>
  <c r="AG55" i="10"/>
  <c r="AF55" i="10"/>
  <c r="AE55" i="10"/>
  <c r="AD55" i="10"/>
  <c r="AC55" i="10"/>
  <c r="AB55" i="10"/>
  <c r="AA55" i="10"/>
  <c r="Z55" i="10"/>
  <c r="Y55" i="10"/>
  <c r="X55" i="10"/>
  <c r="W55" i="10"/>
  <c r="V55" i="10"/>
  <c r="U55" i="10"/>
  <c r="T55" i="10"/>
  <c r="S55" i="10"/>
  <c r="R55" i="10"/>
  <c r="Q55" i="10"/>
  <c r="P55" i="10"/>
  <c r="O55" i="10"/>
  <c r="N55" i="10"/>
  <c r="M55" i="10"/>
  <c r="L55" i="10"/>
  <c r="K55" i="10"/>
  <c r="J55" i="10"/>
  <c r="I55" i="10"/>
  <c r="H55" i="10"/>
  <c r="G55" i="10"/>
  <c r="F55" i="10"/>
  <c r="E55" i="10"/>
  <c r="D55" i="10"/>
  <c r="C55" i="10"/>
  <c r="B55"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R54" i="10"/>
  <c r="Q54" i="10"/>
  <c r="P54" i="10"/>
  <c r="O54" i="10"/>
  <c r="N54" i="10"/>
  <c r="M54" i="10"/>
  <c r="L54" i="10"/>
  <c r="K54" i="10"/>
  <c r="J54" i="10"/>
  <c r="I54" i="10"/>
  <c r="H54" i="10"/>
  <c r="G54" i="10"/>
  <c r="F54" i="10"/>
  <c r="E54" i="10"/>
  <c r="D54" i="10"/>
  <c r="C54" i="10"/>
  <c r="B54" i="10"/>
  <c r="AR47" i="10" l="1"/>
  <c r="AQ49" i="10" l="1"/>
  <c r="AQ48" i="10"/>
  <c r="AQ46" i="10"/>
  <c r="AK27" i="10"/>
  <c r="AK38"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AQ47" i="10" l="1"/>
  <c r="V28" i="10"/>
  <c r="AA30" i="10"/>
  <c r="AA16" i="10"/>
  <c r="AP40" i="10"/>
  <c r="AO41" i="10" l="1"/>
  <c r="AN41" i="10"/>
  <c r="AJ41" i="10"/>
  <c r="Z41" i="10"/>
  <c r="U41" i="10"/>
  <c r="T41" i="10"/>
  <c r="J41" i="10"/>
  <c r="I41" i="10"/>
  <c r="F41" i="10"/>
  <c r="E41" i="10"/>
  <c r="D41" i="10"/>
  <c r="C41" i="10"/>
  <c r="B41" i="10"/>
  <c r="AK39" i="10" l="1"/>
  <c r="AI39" i="10"/>
  <c r="AH39" i="10"/>
  <c r="AH41" i="10" s="1"/>
  <c r="AG39" i="10"/>
  <c r="AF39" i="10"/>
  <c r="AE39" i="10"/>
  <c r="AD39" i="10"/>
  <c r="AA39" i="10"/>
  <c r="Y39" i="10"/>
  <c r="Y41" i="10" s="1"/>
  <c r="X39" i="10"/>
  <c r="AQ20" i="10"/>
  <c r="AP27" i="10"/>
  <c r="AI27" i="10"/>
  <c r="AG27" i="10"/>
  <c r="AF27" i="10"/>
  <c r="AE27" i="10"/>
  <c r="AD27" i="10"/>
  <c r="AC27" i="10"/>
  <c r="AB27" i="10"/>
  <c r="AA27" i="10"/>
  <c r="X27" i="10"/>
  <c r="V27" i="10"/>
  <c r="AF23" i="10"/>
  <c r="AE23" i="10"/>
  <c r="AB23" i="10"/>
  <c r="AA23" i="10"/>
  <c r="AK24" i="10"/>
  <c r="AF24" i="10"/>
  <c r="AD24" i="10"/>
  <c r="AB24" i="10"/>
  <c r="AA24" i="10"/>
  <c r="V24" i="10"/>
  <c r="Q24" i="10"/>
  <c r="AQ19" i="10"/>
  <c r="AI38" i="10"/>
  <c r="AF38" i="10"/>
  <c r="AE38" i="10"/>
  <c r="AD38" i="10"/>
  <c r="AC38" i="10"/>
  <c r="AA38" i="10"/>
  <c r="V38" i="10"/>
  <c r="AG36" i="10"/>
  <c r="AE36" i="10"/>
  <c r="AD36" i="10"/>
  <c r="AA36" i="10"/>
  <c r="W36" i="10"/>
  <c r="AQ31" i="10"/>
  <c r="AD29" i="10"/>
  <c r="AQ29" i="10" s="1"/>
  <c r="AP10" i="10"/>
  <c r="AM10" i="10"/>
  <c r="AL10" i="10"/>
  <c r="AL41" i="10" s="1"/>
  <c r="AK10" i="10"/>
  <c r="AI10" i="10"/>
  <c r="AG10" i="10"/>
  <c r="AF10" i="10"/>
  <c r="AD10" i="10"/>
  <c r="AE10" i="10"/>
  <c r="AC10" i="10"/>
  <c r="AB10" i="10"/>
  <c r="AA10" i="10"/>
  <c r="W10" i="10"/>
  <c r="AQ39" i="10" l="1"/>
  <c r="AQ27" i="10"/>
  <c r="AQ10" i="10"/>
  <c r="AQ36" i="10"/>
  <c r="AQ24" i="10"/>
  <c r="AQ38" i="10"/>
  <c r="AQ23" i="10"/>
  <c r="AQ32" i="10"/>
  <c r="L25" i="10"/>
  <c r="AQ25" i="10" s="1"/>
  <c r="AD35" i="10"/>
  <c r="AQ35" i="10" s="1"/>
  <c r="AK40" i="10"/>
  <c r="AE40" i="10"/>
  <c r="AD40" i="10"/>
  <c r="AB40" i="10"/>
  <c r="AA40" i="10"/>
  <c r="AP30" i="10"/>
  <c r="AP41" i="10" s="1"/>
  <c r="AK30" i="10"/>
  <c r="AD30" i="10"/>
  <c r="AC30" i="10"/>
  <c r="AB30" i="10"/>
  <c r="C856" i="4"/>
  <c r="AK33" i="10"/>
  <c r="AD33" i="10"/>
  <c r="AC33" i="10"/>
  <c r="V12" i="10"/>
  <c r="AQ22" i="10"/>
  <c r="AE37" i="10"/>
  <c r="AD37" i="10"/>
  <c r="AC37" i="10"/>
  <c r="AA37" i="10"/>
  <c r="AE17" i="10"/>
  <c r="AD17" i="10"/>
  <c r="AA17" i="10"/>
  <c r="P17" i="10"/>
  <c r="AK28" i="10"/>
  <c r="AG28" i="10"/>
  <c r="AF28" i="10"/>
  <c r="AE28" i="10"/>
  <c r="AD28" i="10"/>
  <c r="AC28" i="10"/>
  <c r="AB28" i="10"/>
  <c r="AA28" i="10"/>
  <c r="S28" i="10"/>
  <c r="AQ12" i="10" l="1"/>
  <c r="AQ40" i="10"/>
  <c r="AQ33" i="10"/>
  <c r="AQ37" i="10"/>
  <c r="AQ17" i="10"/>
  <c r="AQ30" i="10"/>
  <c r="AQ28" i="10"/>
  <c r="AQ21" i="10"/>
  <c r="AC18" i="10"/>
  <c r="AQ18" i="10" s="1"/>
  <c r="AK16" i="10"/>
  <c r="AG16" i="10"/>
  <c r="AF16" i="10"/>
  <c r="AE16" i="10"/>
  <c r="AD16" i="10"/>
  <c r="AC16" i="10"/>
  <c r="AB16" i="10"/>
  <c r="X16" i="10"/>
  <c r="X41" i="10" s="1"/>
  <c r="W16" i="10"/>
  <c r="V16" i="10"/>
  <c r="R16" i="10"/>
  <c r="R41" i="10" s="1"/>
  <c r="Q16" i="10"/>
  <c r="P16" i="10"/>
  <c r="O16" i="10"/>
  <c r="O41" i="10" s="1"/>
  <c r="N16" i="10"/>
  <c r="N41" i="10" s="1"/>
  <c r="M16" i="10"/>
  <c r="M41" i="10" s="1"/>
  <c r="L16" i="10"/>
  <c r="K16" i="10"/>
  <c r="K41" i="10" s="1"/>
  <c r="H16" i="10"/>
  <c r="H41" i="10" s="1"/>
  <c r="G16" i="10"/>
  <c r="G41" i="10" s="1"/>
  <c r="AK34" i="10"/>
  <c r="AI34" i="10"/>
  <c r="AI41" i="10" s="1"/>
  <c r="AG34" i="10"/>
  <c r="AF34" i="10"/>
  <c r="AE34" i="10"/>
  <c r="AD34" i="10"/>
  <c r="AC34" i="10"/>
  <c r="AB34" i="10"/>
  <c r="AA34" i="10"/>
  <c r="W34" i="10"/>
  <c r="V34" i="10"/>
  <c r="AQ14" i="10"/>
  <c r="AQ11" i="10"/>
  <c r="AC41" i="10" l="1"/>
  <c r="AQ16" i="10"/>
  <c r="AQ34" i="10"/>
  <c r="AG13" i="10"/>
  <c r="AG41" i="10" s="1"/>
  <c r="AF13" i="10"/>
  <c r="AF41" i="10" s="1"/>
  <c r="AE13" i="10"/>
  <c r="AD13" i="10"/>
  <c r="AB13" i="10"/>
  <c r="AA13" i="10"/>
  <c r="W13" i="10"/>
  <c r="W41" i="10" s="1"/>
  <c r="V13" i="10"/>
  <c r="V41" i="10" s="1"/>
  <c r="Q13" i="10"/>
  <c r="Q41" i="10" s="1"/>
  <c r="P13" i="10"/>
  <c r="P41" i="10" s="1"/>
  <c r="L13" i="10"/>
  <c r="L41" i="10" s="1"/>
  <c r="AA26" i="10"/>
  <c r="AK26" i="10"/>
  <c r="AE26" i="10"/>
  <c r="AD26" i="10"/>
  <c r="AB26" i="10"/>
  <c r="S26" i="10"/>
  <c r="S41" i="10" s="1"/>
  <c r="AM15" i="10"/>
  <c r="AM41" i="10" s="1"/>
  <c r="AK15" i="10"/>
  <c r="AE15" i="10"/>
  <c r="AD15" i="10"/>
  <c r="AB15" i="10"/>
  <c r="AA15" i="10"/>
  <c r="AD41" i="10" l="1"/>
  <c r="AK41" i="10"/>
  <c r="AE41" i="10"/>
  <c r="AA41" i="10"/>
  <c r="AB41" i="10"/>
  <c r="AQ15" i="10"/>
  <c r="AQ13" i="10"/>
  <c r="AQ26" i="10"/>
  <c r="C2738" i="4"/>
  <c r="C2725" i="4"/>
  <c r="C2709" i="4"/>
  <c r="C2694" i="4"/>
  <c r="C2688" i="4"/>
  <c r="C2671" i="4"/>
  <c r="C2664" i="4"/>
  <c r="C2654" i="4"/>
  <c r="C2648" i="4"/>
  <c r="C2635" i="4"/>
  <c r="C2622" i="4"/>
  <c r="C2617" i="4"/>
  <c r="C2596" i="4"/>
  <c r="C2584" i="4"/>
  <c r="C2558" i="4"/>
  <c r="C2544" i="4"/>
  <c r="B2544" i="4"/>
  <c r="C2519" i="4"/>
  <c r="C2505" i="4"/>
  <c r="C2441" i="4"/>
  <c r="C2366" i="4"/>
  <c r="C2359" i="4"/>
  <c r="C2355" i="4"/>
  <c r="C2345" i="4"/>
  <c r="C2332" i="4"/>
  <c r="C2290" i="4"/>
  <c r="C2277" i="4"/>
  <c r="C2229" i="4"/>
  <c r="C2215" i="4"/>
  <c r="C2207" i="4"/>
  <c r="C2196" i="4"/>
  <c r="C2174" i="4"/>
  <c r="C2158" i="4"/>
  <c r="C2110" i="4"/>
  <c r="C2092" i="4"/>
  <c r="C2054" i="4"/>
  <c r="C2034" i="4"/>
  <c r="C1984" i="4"/>
  <c r="C1979" i="4"/>
  <c r="C1974" i="4"/>
  <c r="C1887" i="4"/>
  <c r="C1816" i="4"/>
  <c r="C1753" i="4"/>
  <c r="C1718" i="4"/>
  <c r="C1697" i="4"/>
  <c r="C1586" i="4"/>
  <c r="C1547" i="4"/>
  <c r="C1381" i="4"/>
  <c r="C1333" i="4"/>
  <c r="C1254" i="4"/>
  <c r="C1246" i="4"/>
  <c r="C1188" i="4"/>
  <c r="C1106" i="4"/>
  <c r="C1101" i="4"/>
  <c r="C1085" i="4"/>
  <c r="C954" i="4"/>
  <c r="C945" i="4"/>
  <c r="C932" i="4"/>
  <c r="C800" i="4"/>
  <c r="C755" i="4"/>
  <c r="C723" i="4"/>
  <c r="C710" i="4"/>
  <c r="C673" i="4"/>
  <c r="C637" i="4"/>
  <c r="C550" i="4"/>
  <c r="C541" i="4"/>
  <c r="C526" i="4"/>
  <c r="C343" i="4"/>
  <c r="C337" i="4"/>
  <c r="C192" i="4"/>
  <c r="C186" i="4"/>
  <c r="C105" i="4"/>
  <c r="C52" i="4"/>
  <c r="C14" i="4"/>
  <c r="AQ41" i="10" l="1"/>
  <c r="T48" i="5"/>
  <c r="AY74" i="9" l="1"/>
  <c r="AY73" i="9"/>
  <c r="AY72" i="9"/>
  <c r="AY71" i="9"/>
  <c r="AY70" i="9"/>
  <c r="AY69" i="9"/>
  <c r="AY68" i="9"/>
  <c r="AY66" i="9"/>
  <c r="AY67" i="9"/>
  <c r="AY65" i="9"/>
  <c r="AY64" i="9"/>
  <c r="AY63" i="9"/>
  <c r="AY62" i="9"/>
  <c r="AY61" i="9"/>
  <c r="AY60" i="9"/>
  <c r="AY59" i="9"/>
  <c r="AY57" i="9"/>
  <c r="AY58" i="9"/>
  <c r="AY56" i="9"/>
  <c r="AY55" i="9"/>
  <c r="AY54" i="9"/>
  <c r="AY53" i="9"/>
  <c r="AY52" i="9"/>
  <c r="AY51" i="9"/>
  <c r="AY50" i="9"/>
  <c r="AY49" i="9"/>
  <c r="AY48" i="9"/>
  <c r="AY47" i="9"/>
  <c r="AX75" i="9"/>
  <c r="AY76" i="9"/>
  <c r="AY41" i="9"/>
  <c r="AY39" i="9"/>
  <c r="AY38" i="9"/>
  <c r="AY37" i="9"/>
  <c r="AY36" i="9"/>
  <c r="AY35" i="9"/>
  <c r="AY34" i="9"/>
  <c r="AY33" i="9"/>
  <c r="AY32" i="9"/>
  <c r="AY31" i="9"/>
  <c r="AY30" i="9"/>
  <c r="AY29" i="9"/>
  <c r="AY28" i="9"/>
  <c r="AY27" i="9"/>
  <c r="AY26" i="9"/>
  <c r="AY25" i="9"/>
  <c r="AY24" i="9"/>
  <c r="AY23" i="9"/>
  <c r="AY22" i="9"/>
  <c r="AY21" i="9"/>
  <c r="AY20" i="9"/>
  <c r="AY19" i="9"/>
  <c r="AY18" i="9"/>
  <c r="AY17" i="9"/>
  <c r="AY16" i="9"/>
  <c r="AY15" i="9"/>
  <c r="AY14" i="9"/>
  <c r="AY13" i="9"/>
  <c r="AY12" i="9"/>
  <c r="AK267" i="9" l="1"/>
  <c r="AK266" i="9"/>
  <c r="AK265" i="9"/>
  <c r="AK264" i="9"/>
  <c r="AK263" i="9"/>
  <c r="AK262" i="9"/>
  <c r="AK261" i="9"/>
  <c r="AK260" i="9"/>
  <c r="AK259" i="9"/>
  <c r="AK258" i="9"/>
  <c r="AK257" i="9"/>
  <c r="AK256" i="9"/>
  <c r="AK255" i="9"/>
  <c r="AK254" i="9"/>
  <c r="AK253" i="9"/>
  <c r="AK252" i="9"/>
  <c r="AK251" i="9"/>
  <c r="AK250" i="9"/>
  <c r="AO241" i="9"/>
  <c r="AN241" i="9"/>
  <c r="AM241" i="9"/>
  <c r="AK268" i="9" l="1"/>
  <c r="V82" i="9"/>
  <c r="W81" i="9"/>
  <c r="W80" i="9"/>
  <c r="W79" i="9"/>
  <c r="W77" i="9"/>
  <c r="W78" i="9"/>
  <c r="W76" i="9"/>
  <c r="W75" i="9"/>
  <c r="W74" i="9"/>
  <c r="W73" i="9"/>
  <c r="W72" i="9"/>
  <c r="W71" i="9"/>
  <c r="W70" i="9"/>
  <c r="W69" i="9"/>
  <c r="W68" i="9"/>
  <c r="W67" i="9"/>
  <c r="W66" i="9"/>
  <c r="W65" i="9"/>
  <c r="W63" i="9"/>
  <c r="W64" i="9"/>
  <c r="W61" i="9"/>
  <c r="W62" i="9"/>
  <c r="W60" i="9"/>
  <c r="W59" i="9"/>
  <c r="W58" i="9"/>
  <c r="W57" i="9"/>
  <c r="W56" i="9"/>
  <c r="W55" i="9"/>
  <c r="W54" i="9"/>
  <c r="W53" i="9"/>
  <c r="W52" i="9"/>
  <c r="W51" i="9"/>
  <c r="W44" i="9" l="1"/>
  <c r="W42" i="9"/>
  <c r="W41" i="9"/>
  <c r="W40" i="9"/>
  <c r="W39" i="9"/>
  <c r="W38" i="9"/>
  <c r="W37" i="9"/>
  <c r="W36" i="9"/>
  <c r="W35" i="9"/>
  <c r="W34" i="9"/>
  <c r="W33" i="9"/>
  <c r="W32" i="9"/>
  <c r="W31" i="9"/>
  <c r="W30" i="9"/>
  <c r="W29" i="9"/>
  <c r="W28" i="9"/>
  <c r="W27" i="9"/>
  <c r="W26" i="9"/>
  <c r="W25" i="9"/>
  <c r="W24" i="9"/>
  <c r="W23" i="9"/>
  <c r="W22" i="9"/>
  <c r="W21" i="9"/>
  <c r="W20" i="9"/>
  <c r="W19" i="9"/>
  <c r="W18" i="9"/>
  <c r="W17" i="9"/>
  <c r="W16" i="9"/>
  <c r="W15" i="9"/>
  <c r="W14" i="9"/>
  <c r="W13" i="9"/>
  <c r="W12" i="9"/>
  <c r="V43" i="9"/>
  <c r="J308" i="9"/>
  <c r="I308" i="9"/>
  <c r="H308" i="9"/>
  <c r="G308" i="9"/>
  <c r="F308" i="9"/>
  <c r="E308" i="9"/>
  <c r="D308" i="9"/>
  <c r="C308" i="9"/>
  <c r="B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Z42" i="3"/>
  <c r="Z40" i="3"/>
  <c r="Z39" i="3"/>
  <c r="Z38" i="3"/>
  <c r="Z37" i="3"/>
  <c r="Z36" i="3"/>
  <c r="Z35" i="3"/>
  <c r="Z34" i="3"/>
  <c r="Z33" i="3"/>
  <c r="Z32" i="3"/>
  <c r="Z31" i="3"/>
  <c r="Z30" i="3"/>
  <c r="Z29" i="3"/>
  <c r="Z28" i="3"/>
  <c r="Z27" i="3"/>
  <c r="Z26" i="3"/>
  <c r="Z25" i="3"/>
  <c r="Z24" i="3"/>
  <c r="Z23" i="3"/>
  <c r="Z22" i="3"/>
  <c r="Z21" i="3"/>
  <c r="Z20" i="3"/>
  <c r="Z19" i="3"/>
  <c r="Z18" i="3"/>
  <c r="Z16" i="3"/>
  <c r="Z17" i="3"/>
  <c r="Z15" i="3"/>
  <c r="Z14" i="3"/>
  <c r="Z13" i="3"/>
  <c r="Z12" i="3"/>
  <c r="Z11" i="3"/>
  <c r="Z10" i="3"/>
  <c r="Z9" i="3"/>
  <c r="Z8" i="3"/>
  <c r="Z7" i="3"/>
  <c r="K308" i="9" l="1"/>
  <c r="AP106" i="8"/>
  <c r="AP98" i="8"/>
  <c r="AP113" i="8"/>
  <c r="AP97" i="8"/>
  <c r="AP100" i="8"/>
  <c r="AP112" i="8"/>
  <c r="AP111" i="8"/>
  <c r="AP101" i="8"/>
  <c r="AP110" i="8"/>
  <c r="AP96" i="8"/>
  <c r="AP109" i="8"/>
  <c r="AP108" i="8"/>
  <c r="AP102" i="8"/>
  <c r="AP107" i="8"/>
  <c r="AP103" i="8"/>
  <c r="AP99" i="8"/>
  <c r="AP104" i="8"/>
  <c r="AP105" i="8"/>
  <c r="AQ83" i="8"/>
  <c r="AQ72" i="8"/>
  <c r="AQ87" i="8"/>
  <c r="AQ71" i="8"/>
  <c r="AQ74" i="8"/>
  <c r="AQ86" i="8"/>
  <c r="AQ85" i="8"/>
  <c r="AQ75" i="8"/>
  <c r="AQ82" i="8"/>
  <c r="AQ70" i="8"/>
  <c r="AQ84" i="8"/>
  <c r="AQ81" i="8"/>
  <c r="AQ76" i="8"/>
  <c r="AQ80" i="8"/>
  <c r="AQ77" i="8"/>
  <c r="AQ73" i="8"/>
  <c r="AQ79" i="8"/>
  <c r="AQ78" i="8"/>
  <c r="AA113" i="8"/>
  <c r="AA112" i="8"/>
  <c r="AA111" i="8"/>
  <c r="AA110" i="8"/>
  <c r="AA109" i="8"/>
  <c r="AA108" i="8"/>
  <c r="AA107" i="8"/>
  <c r="AA106" i="8"/>
  <c r="AA105" i="8"/>
  <c r="AA104" i="8"/>
  <c r="AA103" i="8"/>
  <c r="AA102" i="8"/>
  <c r="AA101" i="8"/>
  <c r="AA100" i="8"/>
  <c r="AA99" i="8"/>
  <c r="AA98" i="8"/>
  <c r="AA97" i="8"/>
  <c r="AA96" i="8"/>
  <c r="AA114" i="8" s="1"/>
  <c r="AP114" i="8" l="1"/>
  <c r="AB87" i="8"/>
  <c r="AB86" i="8"/>
  <c r="AB85" i="8"/>
  <c r="AB84" i="8"/>
  <c r="AB83" i="8"/>
  <c r="AB82" i="8"/>
  <c r="AB81" i="8"/>
  <c r="AB80" i="8"/>
  <c r="AB79" i="8"/>
  <c r="AB78" i="8"/>
  <c r="AB77" i="8"/>
  <c r="AB76" i="8"/>
  <c r="AB75" i="8"/>
  <c r="AB74" i="8"/>
  <c r="AB73" i="8"/>
  <c r="AB72" i="8"/>
  <c r="AB71" i="8"/>
  <c r="AB70"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AA34" i="8"/>
  <c r="Z34" i="8"/>
  <c r="Y34" i="8"/>
  <c r="X34" i="8"/>
  <c r="W34" i="8"/>
  <c r="V34" i="8"/>
  <c r="U34" i="8"/>
  <c r="T34" i="8"/>
  <c r="S34" i="8"/>
  <c r="R34" i="8"/>
  <c r="BG12" i="1" l="1"/>
  <c r="BG11" i="1"/>
  <c r="BG10" i="1"/>
  <c r="BG9" i="1"/>
  <c r="BG8" i="1"/>
  <c r="BG7" i="1"/>
  <c r="BG6" i="1"/>
  <c r="AR34" i="1"/>
  <c r="AQ34" i="1"/>
  <c r="AP34" i="1"/>
  <c r="AK101" i="1"/>
  <c r="AJ101" i="1"/>
  <c r="AI101" i="1"/>
  <c r="AH101" i="1"/>
  <c r="AG101" i="1"/>
  <c r="AF101" i="1"/>
  <c r="AE101" i="1"/>
  <c r="AD101" i="1"/>
  <c r="AC101" i="1"/>
  <c r="AL95" i="1"/>
  <c r="AL100" i="1"/>
  <c r="AL99" i="1"/>
  <c r="AL96" i="1"/>
  <c r="AL98" i="1"/>
  <c r="AL97" i="1"/>
  <c r="AK87" i="1"/>
  <c r="AJ87" i="1"/>
  <c r="AI87" i="1"/>
  <c r="AH87" i="1"/>
  <c r="AG87" i="1"/>
  <c r="AF87" i="1"/>
  <c r="AE87" i="1"/>
  <c r="AD87" i="1"/>
  <c r="AC87" i="1"/>
  <c r="AL86" i="1"/>
  <c r="AL82" i="1"/>
  <c r="AL76" i="1"/>
  <c r="AL85" i="1"/>
  <c r="AL81" i="1"/>
  <c r="AL84" i="1"/>
  <c r="AL74" i="1"/>
  <c r="AL79" i="1"/>
  <c r="AL73" i="1"/>
  <c r="AL83" i="1"/>
  <c r="AL77" i="1"/>
  <c r="AL75" i="1"/>
  <c r="AL80" i="1"/>
  <c r="AL78" i="1"/>
  <c r="X100" i="1"/>
  <c r="W100" i="1"/>
  <c r="V100" i="1"/>
  <c r="U100" i="1"/>
  <c r="T100" i="1"/>
  <c r="S100" i="1"/>
  <c r="R100" i="1"/>
  <c r="Q100" i="1"/>
  <c r="P100" i="1"/>
  <c r="Y99" i="1"/>
  <c r="Y98" i="1"/>
  <c r="Y97" i="1"/>
  <c r="Y96" i="1"/>
  <c r="Y95" i="1"/>
  <c r="Y94" i="1"/>
  <c r="AL101" i="1" l="1"/>
  <c r="AL87" i="1"/>
  <c r="Y100" i="1"/>
  <c r="X86" i="1"/>
  <c r="W86" i="1"/>
  <c r="V86" i="1"/>
  <c r="U86" i="1"/>
  <c r="T86" i="1"/>
  <c r="S86" i="1"/>
  <c r="R86" i="1"/>
  <c r="Q86" i="1"/>
  <c r="P86" i="1"/>
  <c r="Y85" i="1"/>
  <c r="Y84" i="1"/>
  <c r="Y83" i="1"/>
  <c r="Y82" i="1"/>
  <c r="Y81" i="1"/>
  <c r="Y80" i="1"/>
  <c r="Y79" i="1"/>
  <c r="Y78" i="1"/>
  <c r="Y77" i="1"/>
  <c r="Y76" i="1"/>
  <c r="Y75" i="1"/>
  <c r="Y74" i="1"/>
  <c r="Y73" i="1"/>
  <c r="Y72" i="1"/>
  <c r="Y86" i="1" l="1"/>
  <c r="K103" i="8"/>
  <c r="J103" i="8"/>
  <c r="I103" i="8"/>
  <c r="H103" i="8"/>
  <c r="G103" i="8"/>
  <c r="F103" i="8"/>
  <c r="E103" i="8"/>
  <c r="D103" i="8"/>
  <c r="C103" i="8"/>
  <c r="L103" i="8" l="1"/>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23" i="1" l="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194" i="1" l="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H61" i="1" l="1"/>
  <c r="B36" i="1"/>
  <c r="H1258" i="5" l="1"/>
  <c r="H1256" i="5"/>
  <c r="H1255" i="5"/>
  <c r="H1254" i="5"/>
  <c r="H1253" i="5"/>
  <c r="H1252" i="5"/>
  <c r="H1251" i="5"/>
  <c r="H1250" i="5"/>
  <c r="H1249" i="5"/>
  <c r="H1248" i="5"/>
  <c r="H1247" i="5"/>
  <c r="H1246" i="5"/>
  <c r="H1245" i="5"/>
  <c r="H1244" i="5"/>
  <c r="H1243" i="5"/>
  <c r="H1242" i="5"/>
  <c r="H1241" i="5"/>
  <c r="H1240" i="5"/>
  <c r="H1239" i="5"/>
  <c r="H1238" i="5"/>
  <c r="H1237" i="5"/>
  <c r="H1236" i="5"/>
  <c r="H1235" i="5"/>
  <c r="H1234" i="5"/>
  <c r="H1233" i="5"/>
  <c r="H1232" i="5"/>
  <c r="H1231" i="5"/>
  <c r="H1230" i="5"/>
  <c r="H1229" i="5"/>
  <c r="H1228" i="5"/>
  <c r="H1227" i="5"/>
  <c r="H1226" i="5"/>
  <c r="H1225" i="5"/>
  <c r="H1217" i="5"/>
  <c r="H1215" i="5"/>
  <c r="H1214" i="5"/>
  <c r="H1213" i="5"/>
  <c r="H1212" i="5"/>
  <c r="H1211" i="5"/>
  <c r="H1210" i="5"/>
  <c r="H1209" i="5"/>
  <c r="H1208" i="5"/>
  <c r="H1207" i="5"/>
  <c r="H1206" i="5"/>
  <c r="H1205" i="5"/>
  <c r="H1204" i="5"/>
  <c r="H1203" i="5"/>
  <c r="H1202" i="5"/>
  <c r="H1201" i="5"/>
  <c r="H1200" i="5"/>
  <c r="H1199" i="5"/>
  <c r="H1198" i="5"/>
  <c r="H1197" i="5"/>
  <c r="H1196" i="5"/>
  <c r="H1195" i="5"/>
  <c r="H1194" i="5"/>
  <c r="H1193" i="5"/>
  <c r="H1192" i="5"/>
  <c r="H1191" i="5"/>
  <c r="H1190" i="5"/>
  <c r="H1189" i="5"/>
  <c r="H1188" i="5"/>
  <c r="H1187" i="5"/>
  <c r="H1186" i="5"/>
  <c r="H1185" i="5"/>
  <c r="H1184" i="5"/>
  <c r="Y92" i="5" l="1"/>
  <c r="Z92" i="5"/>
  <c r="Q42" i="5"/>
  <c r="H1176" i="5" l="1"/>
  <c r="H1175" i="5"/>
  <c r="H1174" i="5"/>
  <c r="H1173" i="5"/>
  <c r="H1172" i="5"/>
  <c r="H1171" i="5"/>
  <c r="H1170" i="5"/>
  <c r="H1169" i="5"/>
  <c r="H1168" i="5"/>
  <c r="H1167" i="5"/>
  <c r="H1166" i="5"/>
  <c r="H1165" i="5"/>
  <c r="H1164" i="5"/>
  <c r="H1163" i="5"/>
  <c r="H1162" i="5"/>
  <c r="H1161" i="5"/>
  <c r="H1160" i="5"/>
  <c r="H1159" i="5"/>
  <c r="H1158" i="5"/>
  <c r="H1157" i="5"/>
  <c r="H1156" i="5"/>
  <c r="H1155" i="5"/>
  <c r="H1154" i="5"/>
  <c r="H1153" i="5"/>
  <c r="H1152" i="5"/>
  <c r="H1151" i="5"/>
  <c r="H1150" i="5"/>
  <c r="H1149" i="5"/>
  <c r="H1148" i="5"/>
  <c r="H1147" i="5"/>
  <c r="H1146" i="5"/>
  <c r="H1145" i="5"/>
  <c r="H1135" i="5"/>
  <c r="H1136" i="5"/>
  <c r="H1134" i="5"/>
  <c r="H1133" i="5"/>
  <c r="H1132" i="5"/>
  <c r="H1131" i="5"/>
  <c r="H1130" i="5"/>
  <c r="H1129" i="5"/>
  <c r="H1128" i="5"/>
  <c r="H1127" i="5"/>
  <c r="H1126" i="5"/>
  <c r="H1125" i="5"/>
  <c r="H1124" i="5"/>
  <c r="H1123" i="5"/>
  <c r="H1122" i="5"/>
  <c r="H1121" i="5"/>
  <c r="H1120" i="5"/>
  <c r="H1119" i="5"/>
  <c r="H1118" i="5"/>
  <c r="H1117" i="5"/>
  <c r="H1116" i="5"/>
  <c r="H1115" i="5"/>
  <c r="H1114" i="5"/>
  <c r="H1113" i="5"/>
  <c r="H1112" i="5"/>
  <c r="H1111" i="5"/>
  <c r="H1110" i="5"/>
  <c r="H1109" i="5"/>
  <c r="H1108" i="5"/>
  <c r="H1107" i="5"/>
  <c r="H1106" i="5"/>
  <c r="H1105" i="5"/>
  <c r="H1137" i="5" l="1"/>
  <c r="H1018" i="5"/>
  <c r="H1017" i="5"/>
  <c r="H1016" i="5"/>
  <c r="H1015" i="5"/>
  <c r="H1014" i="5"/>
  <c r="H1013" i="5"/>
  <c r="H1012" i="5"/>
  <c r="H1011" i="5"/>
  <c r="H1010" i="5"/>
  <c r="H1009" i="5"/>
  <c r="H1008" i="5"/>
  <c r="H1007" i="5"/>
  <c r="H1006" i="5"/>
  <c r="H1005" i="5"/>
  <c r="H1004" i="5"/>
  <c r="H1003" i="5"/>
  <c r="H1002" i="5"/>
  <c r="H1001" i="5"/>
  <c r="H1000" i="5"/>
  <c r="H999" i="5"/>
  <c r="H998" i="5"/>
  <c r="H997" i="5"/>
  <c r="H996" i="5"/>
  <c r="H995" i="5"/>
  <c r="H994" i="5"/>
  <c r="H993" i="5"/>
  <c r="H992" i="5"/>
  <c r="H991" i="5"/>
  <c r="H990" i="5"/>
  <c r="H989" i="5"/>
  <c r="H988" i="5"/>
  <c r="H987" i="5"/>
  <c r="H986" i="5"/>
  <c r="H985" i="5"/>
  <c r="H984" i="5"/>
  <c r="H983" i="5"/>
  <c r="H975" i="5"/>
  <c r="H974" i="5"/>
  <c r="H973" i="5"/>
  <c r="H972" i="5"/>
  <c r="H971" i="5"/>
  <c r="H970" i="5"/>
  <c r="H969" i="5"/>
  <c r="H968" i="5"/>
  <c r="H967" i="5"/>
  <c r="H966" i="5"/>
  <c r="H965" i="5"/>
  <c r="H964" i="5"/>
  <c r="H963" i="5"/>
  <c r="H962" i="5"/>
  <c r="H961" i="5"/>
  <c r="H960" i="5"/>
  <c r="H959" i="5"/>
  <c r="H958" i="5"/>
  <c r="H957" i="5"/>
  <c r="H956" i="5"/>
  <c r="H955" i="5"/>
  <c r="H954" i="5"/>
  <c r="H953" i="5"/>
  <c r="H952" i="5"/>
  <c r="H951" i="5"/>
  <c r="H950" i="5"/>
  <c r="H949" i="5"/>
  <c r="H948" i="5"/>
  <c r="H947" i="5"/>
  <c r="H946" i="5"/>
  <c r="H945" i="5"/>
  <c r="H944" i="5"/>
  <c r="H943" i="5"/>
  <c r="H942" i="5"/>
  <c r="H941" i="5"/>
  <c r="H940" i="5"/>
  <c r="H933" i="5" l="1"/>
  <c r="H932" i="5"/>
  <c r="H931" i="5"/>
  <c r="H930" i="5"/>
  <c r="H929" i="5"/>
  <c r="H928" i="5"/>
  <c r="H927" i="5"/>
  <c r="H926" i="5"/>
  <c r="H925" i="5"/>
  <c r="H924" i="5"/>
  <c r="H923" i="5"/>
  <c r="H922" i="5"/>
  <c r="H921" i="5"/>
  <c r="H920" i="5"/>
  <c r="H919" i="5"/>
  <c r="H918" i="5"/>
  <c r="H917" i="5"/>
  <c r="H916" i="5"/>
  <c r="H915" i="5"/>
  <c r="H914" i="5"/>
  <c r="H913" i="5"/>
  <c r="H912" i="5"/>
  <c r="H911" i="5"/>
  <c r="H910" i="5"/>
  <c r="H909" i="5"/>
  <c r="H908" i="5"/>
  <c r="H907" i="5"/>
  <c r="H906" i="5"/>
  <c r="H905" i="5"/>
  <c r="H904" i="5"/>
  <c r="H903" i="5"/>
  <c r="H902" i="5"/>
  <c r="H901" i="5"/>
  <c r="H900" i="5"/>
  <c r="H899" i="5"/>
  <c r="H898" i="5"/>
  <c r="H890" i="5"/>
  <c r="H889" i="5"/>
  <c r="H888" i="5"/>
  <c r="H887" i="5"/>
  <c r="H886" i="5"/>
  <c r="H885" i="5"/>
  <c r="H884" i="5"/>
  <c r="H883" i="5"/>
  <c r="H882" i="5"/>
  <c r="H881" i="5"/>
  <c r="H880" i="5"/>
  <c r="H879" i="5"/>
  <c r="H878" i="5"/>
  <c r="H877" i="5"/>
  <c r="H876" i="5"/>
  <c r="H875" i="5"/>
  <c r="H874" i="5"/>
  <c r="H873" i="5"/>
  <c r="H872" i="5"/>
  <c r="H871" i="5"/>
  <c r="H870" i="5"/>
  <c r="H869" i="5"/>
  <c r="H868" i="5"/>
  <c r="H867" i="5"/>
  <c r="H866" i="5"/>
  <c r="H865" i="5"/>
  <c r="H864" i="5"/>
  <c r="H863" i="5"/>
  <c r="H862" i="5"/>
  <c r="H861" i="5"/>
  <c r="H860" i="5"/>
  <c r="H859" i="5"/>
  <c r="H858" i="5"/>
  <c r="H857" i="5"/>
  <c r="H856" i="5"/>
  <c r="H855" i="5"/>
  <c r="AW75" i="9" l="1"/>
  <c r="AV75" i="9"/>
  <c r="AU75" i="9"/>
  <c r="AT75" i="9"/>
  <c r="AS75" i="9"/>
  <c r="AR75" i="9"/>
  <c r="AW40" i="9"/>
  <c r="AV40" i="9"/>
  <c r="AU40" i="9"/>
  <c r="AT40" i="9"/>
  <c r="AS40" i="9"/>
  <c r="AR40" i="9"/>
  <c r="AY40" i="9" s="1"/>
  <c r="U82" i="9"/>
  <c r="T82" i="9"/>
  <c r="S82" i="9"/>
  <c r="R82" i="9"/>
  <c r="Q82" i="9"/>
  <c r="P82" i="9"/>
  <c r="U43" i="9"/>
  <c r="AY75" i="9" l="1"/>
  <c r="W82" i="9"/>
  <c r="K230" i="9"/>
  <c r="K231" i="9"/>
  <c r="K232" i="9"/>
  <c r="K233" i="9"/>
  <c r="K234" i="9"/>
  <c r="K235" i="9"/>
  <c r="K236" i="9"/>
  <c r="K237" i="9"/>
  <c r="K238" i="9"/>
  <c r="K239" i="9"/>
  <c r="K240" i="9"/>
  <c r="K242" i="9"/>
  <c r="K243" i="9"/>
  <c r="K244" i="9"/>
  <c r="K245" i="9"/>
  <c r="K246" i="9"/>
  <c r="K247" i="9"/>
  <c r="K248" i="9"/>
  <c r="K249" i="9"/>
  <c r="K250" i="9"/>
  <c r="K251" i="9"/>
  <c r="K252" i="9"/>
  <c r="K253" i="9"/>
  <c r="K254" i="9"/>
  <c r="K255" i="9"/>
  <c r="K256" i="9"/>
  <c r="K257" i="9"/>
  <c r="K258" i="9"/>
  <c r="K259" i="9"/>
  <c r="K260" i="9"/>
  <c r="K261" i="9"/>
  <c r="K262" i="9"/>
  <c r="K263" i="9"/>
  <c r="K264" i="9"/>
  <c r="AJ241" i="9"/>
  <c r="AI241" i="9"/>
  <c r="AH241" i="9"/>
  <c r="AG241" i="9"/>
  <c r="AF241" i="9"/>
  <c r="AE241" i="9"/>
  <c r="AD241" i="9"/>
  <c r="AC241" i="9"/>
  <c r="AB241" i="9"/>
  <c r="AK240" i="9"/>
  <c r="AK239" i="9"/>
  <c r="AK238" i="9"/>
  <c r="AK237" i="9"/>
  <c r="AK236" i="9"/>
  <c r="AK235" i="9"/>
  <c r="AK234" i="9"/>
  <c r="AK232" i="9"/>
  <c r="AK231" i="9"/>
  <c r="AK230" i="9"/>
  <c r="AK229" i="9"/>
  <c r="AK228" i="9"/>
  <c r="AK227" i="9"/>
  <c r="AK226" i="9"/>
  <c r="AK225" i="9"/>
  <c r="AK224" i="9"/>
  <c r="AK223" i="9"/>
  <c r="AK222" i="9"/>
  <c r="AK221" i="9"/>
  <c r="AK220" i="9"/>
  <c r="J265" i="9"/>
  <c r="I265" i="9"/>
  <c r="H265" i="9"/>
  <c r="G265" i="9"/>
  <c r="F265" i="9"/>
  <c r="E265" i="9"/>
  <c r="D265" i="9"/>
  <c r="C265" i="9"/>
  <c r="B265" i="9"/>
  <c r="K265" i="9" l="1"/>
  <c r="AK241" i="9"/>
  <c r="X41" i="3"/>
  <c r="L403" i="3" l="1"/>
  <c r="G59" i="1" l="1"/>
  <c r="J33" i="1" l="1"/>
  <c r="I33" i="1"/>
  <c r="H33" i="1"/>
  <c r="G33" i="1"/>
  <c r="F33" i="1"/>
  <c r="E33" i="1"/>
  <c r="D33" i="1"/>
  <c r="C33" i="1"/>
  <c r="B33" i="1"/>
  <c r="D36" i="1" l="1"/>
  <c r="C36" i="1"/>
  <c r="D35" i="1"/>
  <c r="C35" i="1"/>
  <c r="D34" i="1"/>
  <c r="C34" i="1"/>
  <c r="D380" i="1" l="1"/>
  <c r="C380" i="1"/>
  <c r="D379" i="1"/>
  <c r="C379" i="1"/>
  <c r="D378" i="1"/>
  <c r="C378" i="1"/>
  <c r="J367" i="1"/>
  <c r="I367" i="1"/>
  <c r="H367" i="1"/>
  <c r="G367" i="1"/>
  <c r="F367" i="1"/>
  <c r="E367" i="1"/>
  <c r="D367" i="1"/>
  <c r="C367" i="1"/>
  <c r="B367" i="1"/>
  <c r="L367" i="1" l="1"/>
  <c r="K367" i="1"/>
  <c r="H30" i="1"/>
  <c r="BR97" i="4" l="1"/>
  <c r="BQ97" i="4"/>
  <c r="BP97" i="4"/>
  <c r="BO97" i="4"/>
  <c r="BN97" i="4"/>
  <c r="BM97" i="4"/>
  <c r="BL97" i="4"/>
  <c r="BK97" i="4"/>
  <c r="BJ97" i="4"/>
  <c r="BI97" i="4"/>
  <c r="BR96" i="4"/>
  <c r="BQ96" i="4"/>
  <c r="BP96" i="4"/>
  <c r="BO96" i="4"/>
  <c r="BN96" i="4"/>
  <c r="BM96" i="4"/>
  <c r="BL96" i="4"/>
  <c r="BK96" i="4"/>
  <c r="BJ96" i="4"/>
  <c r="BI96" i="4"/>
  <c r="CX47" i="4"/>
  <c r="CX42" i="4"/>
  <c r="CV37" i="4"/>
  <c r="CU37" i="4"/>
  <c r="CS37" i="4"/>
  <c r="CQ37" i="4"/>
  <c r="CP37" i="4"/>
  <c r="CO37" i="4"/>
  <c r="CB37" i="4"/>
  <c r="CA37" i="4"/>
  <c r="BZ37" i="4"/>
  <c r="BY37" i="4"/>
  <c r="BW37" i="4"/>
  <c r="BU37" i="4"/>
  <c r="BT37" i="4"/>
  <c r="BS37" i="4"/>
  <c r="BR37" i="4"/>
  <c r="BQ37" i="4"/>
  <c r="BP37" i="4"/>
  <c r="BO37" i="4"/>
  <c r="BN37" i="4"/>
  <c r="BM37" i="4"/>
  <c r="BL37" i="4"/>
  <c r="BK37" i="4"/>
  <c r="BJ37" i="4"/>
  <c r="BI37" i="4"/>
  <c r="CV36" i="4"/>
  <c r="CU36" i="4"/>
  <c r="CS36" i="4"/>
  <c r="CQ36" i="4"/>
  <c r="CP36" i="4"/>
  <c r="CO36" i="4"/>
  <c r="CI36" i="4"/>
  <c r="CA36" i="4"/>
  <c r="BZ36" i="4"/>
  <c r="BW36" i="4"/>
  <c r="BU36" i="4"/>
  <c r="BT36" i="4"/>
  <c r="BR36" i="4"/>
  <c r="BQ36" i="4"/>
  <c r="BP36" i="4"/>
  <c r="BO36" i="4"/>
  <c r="BJ36" i="4"/>
  <c r="CV35" i="4"/>
  <c r="CU35" i="4"/>
  <c r="CS35" i="4"/>
  <c r="CQ35" i="4"/>
  <c r="CP35" i="4"/>
  <c r="CO35" i="4"/>
  <c r="CA35" i="4"/>
  <c r="BZ35" i="4"/>
  <c r="BW35" i="4"/>
  <c r="BU35" i="4"/>
  <c r="BT35" i="4"/>
  <c r="BR35" i="4"/>
  <c r="BQ35" i="4"/>
  <c r="BP35" i="4"/>
  <c r="BO35" i="4"/>
  <c r="BJ35" i="4"/>
  <c r="CE34" i="4"/>
  <c r="CX34" i="4" s="1"/>
  <c r="CM33" i="4"/>
  <c r="CJ33" i="4"/>
  <c r="CG33" i="4"/>
  <c r="CF33" i="4"/>
  <c r="CE33" i="4"/>
  <c r="CD33" i="4"/>
  <c r="BI33" i="4"/>
  <c r="CM32" i="4"/>
  <c r="CG32" i="4"/>
  <c r="CE32" i="4"/>
  <c r="CD32" i="4"/>
  <c r="CJ31" i="4"/>
  <c r="CG31" i="4"/>
  <c r="CC31" i="4"/>
  <c r="CJ30" i="4"/>
  <c r="CH30" i="4"/>
  <c r="CG30" i="4"/>
  <c r="CE30" i="4"/>
  <c r="CC30" i="4"/>
  <c r="BV30" i="4"/>
  <c r="CX29" i="4"/>
  <c r="BI28" i="4"/>
  <c r="CR27" i="4"/>
  <c r="CM27" i="4"/>
  <c r="CK27" i="4"/>
  <c r="CJ27" i="4"/>
  <c r="CH27" i="4"/>
  <c r="CG27" i="4"/>
  <c r="CF27" i="4"/>
  <c r="CE27" i="4"/>
  <c r="CD27" i="4"/>
  <c r="CC27" i="4"/>
  <c r="BX27" i="4"/>
  <c r="BV27" i="4"/>
  <c r="CJ26" i="4"/>
  <c r="CG26" i="4"/>
  <c r="CM25" i="4"/>
  <c r="CL25" i="4"/>
  <c r="CK25" i="4"/>
  <c r="CJ25" i="4"/>
  <c r="CI25" i="4"/>
  <c r="CH25" i="4"/>
  <c r="CG25" i="4"/>
  <c r="CF25" i="4"/>
  <c r="CE25" i="4"/>
  <c r="CD25" i="4"/>
  <c r="CC25" i="4"/>
  <c r="CE24" i="4"/>
  <c r="CD24" i="4"/>
  <c r="CC24" i="4"/>
  <c r="CR23" i="4"/>
  <c r="CM23" i="4"/>
  <c r="CL23" i="4"/>
  <c r="CJ23" i="4"/>
  <c r="CH23" i="4"/>
  <c r="CG23" i="4"/>
  <c r="CF23" i="4"/>
  <c r="CE23" i="4"/>
  <c r="CD23" i="4"/>
  <c r="CC23" i="4"/>
  <c r="BX23" i="4"/>
  <c r="CW22" i="4"/>
  <c r="CW37" i="4" s="1"/>
  <c r="CT22" i="4"/>
  <c r="CT37" i="4" s="1"/>
  <c r="CR22" i="4"/>
  <c r="CN22" i="4"/>
  <c r="CN37" i="4" s="1"/>
  <c r="CM22" i="4"/>
  <c r="CK22" i="4"/>
  <c r="CJ22" i="4"/>
  <c r="CI22" i="4"/>
  <c r="CI37" i="4" s="1"/>
  <c r="CH22" i="4"/>
  <c r="CG22" i="4"/>
  <c r="CF22" i="4"/>
  <c r="CE22" i="4"/>
  <c r="CD22" i="4"/>
  <c r="CC22" i="4"/>
  <c r="BX22" i="4"/>
  <c r="BV22" i="4"/>
  <c r="CM21" i="4"/>
  <c r="CH21" i="4"/>
  <c r="CG21" i="4"/>
  <c r="CF21" i="4"/>
  <c r="CE21" i="4"/>
  <c r="CD21" i="4"/>
  <c r="CC21" i="4"/>
  <c r="CX19" i="4"/>
  <c r="CR18" i="4"/>
  <c r="CH18" i="4"/>
  <c r="CG18" i="4"/>
  <c r="CF18" i="4"/>
  <c r="CE18" i="4"/>
  <c r="CD18" i="4"/>
  <c r="CC18" i="4"/>
  <c r="BS18" i="4"/>
  <c r="CR17" i="4"/>
  <c r="CM17" i="4"/>
  <c r="CH17" i="4"/>
  <c r="CF17" i="4"/>
  <c r="CM16" i="4"/>
  <c r="CG16" i="4"/>
  <c r="CM15" i="4"/>
  <c r="CX15" i="4" s="1"/>
  <c r="CX14" i="4"/>
  <c r="CM13" i="4"/>
  <c r="CK13" i="4"/>
  <c r="CK36" i="4" s="1"/>
  <c r="CJ13" i="4"/>
  <c r="CG13" i="4"/>
  <c r="CE13" i="4"/>
  <c r="CD13" i="4"/>
  <c r="CC13" i="4"/>
  <c r="CB13" i="4"/>
  <c r="CB36" i="4" s="1"/>
  <c r="CX12" i="4"/>
  <c r="BM36" i="4"/>
  <c r="BL36" i="4"/>
  <c r="BK35" i="4"/>
  <c r="CF11" i="4"/>
  <c r="CX11" i="4" s="1"/>
  <c r="CR10" i="4"/>
  <c r="CN10" i="4"/>
  <c r="CM10" i="4"/>
  <c r="CJ10" i="4"/>
  <c r="CH10" i="4"/>
  <c r="CG10" i="4"/>
  <c r="CF10" i="4"/>
  <c r="CE10" i="4"/>
  <c r="CC10" i="4"/>
  <c r="BY10" i="4"/>
  <c r="BX10" i="4"/>
  <c r="BV10" i="4"/>
  <c r="BS10" i="4"/>
  <c r="BN10" i="4"/>
  <c r="CG9" i="4"/>
  <c r="CC9" i="4"/>
  <c r="BX9" i="4"/>
  <c r="BV9" i="4"/>
  <c r="BS9" i="4"/>
  <c r="CW8" i="4"/>
  <c r="CW36" i="4" s="1"/>
  <c r="CT8" i="4"/>
  <c r="CT36" i="4" s="1"/>
  <c r="CR8" i="4"/>
  <c r="CM8" i="4"/>
  <c r="CL8" i="4"/>
  <c r="CL36" i="4" s="1"/>
  <c r="CJ8" i="4"/>
  <c r="CH8" i="4"/>
  <c r="CG8" i="4"/>
  <c r="CF8" i="4"/>
  <c r="CE8" i="4"/>
  <c r="CD8" i="4"/>
  <c r="CC8" i="4"/>
  <c r="BX8" i="4"/>
  <c r="BN36" i="4" l="1"/>
  <c r="CK37" i="4"/>
  <c r="CX18" i="4"/>
  <c r="CX23" i="4"/>
  <c r="BL35" i="4"/>
  <c r="CX17" i="4"/>
  <c r="CX22" i="4"/>
  <c r="CL37" i="4"/>
  <c r="CD35" i="4"/>
  <c r="CH35" i="4"/>
  <c r="CR35" i="4"/>
  <c r="BV35" i="4"/>
  <c r="BY36" i="4"/>
  <c r="CN35" i="4"/>
  <c r="BX35" i="4"/>
  <c r="CJ35" i="4"/>
  <c r="CX16" i="4"/>
  <c r="CE35" i="4"/>
  <c r="BY35" i="4"/>
  <c r="CX21" i="4"/>
  <c r="CG36" i="4"/>
  <c r="CC37" i="4"/>
  <c r="CG37" i="4"/>
  <c r="CM37" i="4"/>
  <c r="BV36" i="4"/>
  <c r="CH36" i="4"/>
  <c r="CX31" i="4"/>
  <c r="CM36" i="4"/>
  <c r="CF36" i="4"/>
  <c r="BM35" i="4"/>
  <c r="CF37" i="4"/>
  <c r="CC35" i="4"/>
  <c r="CK35" i="4"/>
  <c r="CX25" i="4"/>
  <c r="CJ36" i="4"/>
  <c r="CD37" i="4"/>
  <c r="CH37" i="4"/>
  <c r="CR37" i="4"/>
  <c r="CC36" i="4"/>
  <c r="CD36" i="4"/>
  <c r="CX33" i="4"/>
  <c r="BX37" i="4"/>
  <c r="BX36" i="4"/>
  <c r="CX10" i="4"/>
  <c r="CX8" i="4"/>
  <c r="CM35" i="4"/>
  <c r="BS35" i="4"/>
  <c r="CG35" i="4"/>
  <c r="CF35" i="4"/>
  <c r="CX24" i="4"/>
  <c r="CX27" i="4"/>
  <c r="CE37" i="4"/>
  <c r="CJ37" i="4"/>
  <c r="BI36" i="4"/>
  <c r="CE36" i="4"/>
  <c r="CB35" i="4"/>
  <c r="CW35" i="4"/>
  <c r="CX13" i="4"/>
  <c r="BK36" i="4"/>
  <c r="CX26" i="4"/>
  <c r="CX32" i="4"/>
  <c r="BN35" i="4"/>
  <c r="CL35" i="4"/>
  <c r="CT35" i="4"/>
  <c r="CN36" i="4"/>
  <c r="CR36" i="4"/>
  <c r="BV37" i="4"/>
  <c r="CX9" i="4"/>
  <c r="CX28" i="4"/>
  <c r="CX30" i="4"/>
  <c r="BI35" i="4"/>
  <c r="BS36" i="4"/>
  <c r="CI35" i="4"/>
  <c r="CX37" i="4" l="1"/>
  <c r="CX36" i="4"/>
  <c r="CX35" i="4"/>
  <c r="T47" i="5"/>
  <c r="U46" i="5" s="1"/>
  <c r="AK210" i="9" l="1"/>
  <c r="AK209" i="9"/>
  <c r="AK208" i="9"/>
  <c r="AK207" i="9"/>
  <c r="AK206" i="9"/>
  <c r="AK205" i="9"/>
  <c r="AK204" i="9"/>
  <c r="AK203" i="9"/>
  <c r="AK202" i="9"/>
  <c r="AK201" i="9"/>
  <c r="AK200" i="9"/>
  <c r="AK199" i="9"/>
  <c r="AK198" i="9"/>
  <c r="AK197" i="9"/>
  <c r="AK196" i="9"/>
  <c r="AK195" i="9"/>
  <c r="AK194" i="9"/>
  <c r="AK193" i="9"/>
  <c r="AK192" i="9"/>
  <c r="AK191" i="9"/>
  <c r="AK190" i="9"/>
  <c r="AK189" i="9"/>
  <c r="AK188" i="9"/>
  <c r="AK187" i="9"/>
  <c r="AK186" i="9"/>
  <c r="AK185" i="9"/>
  <c r="AK184" i="9"/>
  <c r="AK183" i="9"/>
  <c r="AK182" i="9"/>
  <c r="AK181" i="9"/>
  <c r="AK180" i="9"/>
  <c r="AK179" i="9"/>
  <c r="AK178" i="9"/>
  <c r="AN211" i="9"/>
  <c r="AM211" i="9"/>
  <c r="AJ211" i="9"/>
  <c r="AI211" i="9"/>
  <c r="AH211" i="9"/>
  <c r="AG211" i="9"/>
  <c r="AF211" i="9"/>
  <c r="AE211" i="9"/>
  <c r="AD211" i="9"/>
  <c r="AC211" i="9"/>
  <c r="AB211" i="9"/>
  <c r="K186" i="9"/>
  <c r="K187" i="9"/>
  <c r="K188" i="9"/>
  <c r="K189" i="9"/>
  <c r="K190" i="9"/>
  <c r="K191" i="9"/>
  <c r="K192" i="9"/>
  <c r="K193" i="9"/>
  <c r="K194" i="9"/>
  <c r="K195" i="9"/>
  <c r="K196" i="9"/>
  <c r="K198" i="9"/>
  <c r="K199" i="9"/>
  <c r="K200" i="9"/>
  <c r="K201" i="9"/>
  <c r="K202" i="9"/>
  <c r="K203" i="9"/>
  <c r="K204" i="9"/>
  <c r="K205" i="9"/>
  <c r="K206" i="9"/>
  <c r="K207" i="9"/>
  <c r="K208" i="9"/>
  <c r="K209" i="9"/>
  <c r="K210" i="9"/>
  <c r="K211" i="9"/>
  <c r="K212" i="9"/>
  <c r="K213" i="9"/>
  <c r="K214" i="9"/>
  <c r="K215" i="9"/>
  <c r="K216" i="9"/>
  <c r="K217" i="9"/>
  <c r="K218" i="9"/>
  <c r="K219" i="9"/>
  <c r="K220" i="9"/>
  <c r="B221" i="9"/>
  <c r="C221" i="9"/>
  <c r="D221" i="9"/>
  <c r="E221" i="9"/>
  <c r="F221" i="9"/>
  <c r="G221" i="9"/>
  <c r="H221" i="9"/>
  <c r="I221" i="9"/>
  <c r="J221" i="9"/>
  <c r="AK211" i="9" l="1"/>
  <c r="AL211" i="9"/>
  <c r="K221" i="9"/>
  <c r="T43" i="9" l="1"/>
  <c r="W41" i="3" l="1"/>
  <c r="AM66" i="1" l="1"/>
  <c r="J408" i="1"/>
  <c r="I408" i="1"/>
  <c r="H408" i="1"/>
  <c r="G408" i="1"/>
  <c r="F408" i="1"/>
  <c r="E408" i="1"/>
  <c r="D408" i="1"/>
  <c r="C408" i="1"/>
  <c r="J407" i="1"/>
  <c r="I407" i="1"/>
  <c r="H407" i="1"/>
  <c r="G407" i="1"/>
  <c r="F407" i="1"/>
  <c r="E407" i="1"/>
  <c r="D407" i="1"/>
  <c r="C407" i="1"/>
  <c r="J406" i="1"/>
  <c r="I406" i="1"/>
  <c r="H406" i="1"/>
  <c r="G406" i="1"/>
  <c r="F406" i="1"/>
  <c r="E406" i="1"/>
  <c r="D406" i="1"/>
  <c r="C406" i="1"/>
  <c r="J405" i="1"/>
  <c r="I405" i="1"/>
  <c r="H405" i="1"/>
  <c r="G405" i="1"/>
  <c r="F405" i="1"/>
  <c r="E405" i="1"/>
  <c r="D405" i="1"/>
  <c r="C405" i="1"/>
  <c r="J404" i="1"/>
  <c r="I404" i="1"/>
  <c r="H404" i="1"/>
  <c r="G404" i="1"/>
  <c r="F404" i="1"/>
  <c r="E404" i="1"/>
  <c r="D404" i="1"/>
  <c r="C404" i="1"/>
  <c r="J403" i="1"/>
  <c r="I403" i="1"/>
  <c r="H403" i="1"/>
  <c r="G403" i="1"/>
  <c r="F403" i="1"/>
  <c r="E403" i="1"/>
  <c r="D403" i="1"/>
  <c r="C403" i="1"/>
  <c r="J402" i="1"/>
  <c r="I402" i="1"/>
  <c r="H402" i="1"/>
  <c r="G402" i="1"/>
  <c r="F402" i="1"/>
  <c r="E402" i="1"/>
  <c r="D402" i="1"/>
  <c r="C402" i="1"/>
  <c r="J401" i="1"/>
  <c r="I401" i="1"/>
  <c r="H401" i="1"/>
  <c r="G401" i="1"/>
  <c r="F401" i="1"/>
  <c r="E401" i="1"/>
  <c r="D401" i="1"/>
  <c r="C401" i="1"/>
  <c r="J400" i="1"/>
  <c r="I400" i="1"/>
  <c r="H400" i="1"/>
  <c r="G400" i="1"/>
  <c r="F400" i="1"/>
  <c r="E400" i="1"/>
  <c r="D400" i="1"/>
  <c r="C400" i="1"/>
  <c r="J399" i="1"/>
  <c r="I399" i="1"/>
  <c r="H399" i="1"/>
  <c r="G399" i="1"/>
  <c r="F399" i="1"/>
  <c r="E399" i="1"/>
  <c r="D399" i="1"/>
  <c r="C399" i="1"/>
  <c r="J398" i="1"/>
  <c r="I398" i="1"/>
  <c r="H398" i="1"/>
  <c r="G398" i="1"/>
  <c r="F398" i="1"/>
  <c r="E398" i="1"/>
  <c r="D398" i="1"/>
  <c r="C398" i="1"/>
  <c r="J397" i="1"/>
  <c r="I397" i="1"/>
  <c r="H397" i="1"/>
  <c r="G397" i="1"/>
  <c r="F397" i="1"/>
  <c r="E397" i="1"/>
  <c r="D397" i="1"/>
  <c r="C397" i="1"/>
  <c r="J396" i="1"/>
  <c r="I396" i="1"/>
  <c r="H396" i="1"/>
  <c r="G396" i="1"/>
  <c r="F396" i="1"/>
  <c r="E396" i="1"/>
  <c r="D396" i="1"/>
  <c r="C396" i="1"/>
  <c r="J395" i="1"/>
  <c r="I395" i="1"/>
  <c r="H395" i="1"/>
  <c r="G395" i="1"/>
  <c r="F395" i="1"/>
  <c r="E395" i="1"/>
  <c r="D395" i="1"/>
  <c r="C395" i="1"/>
  <c r="J394" i="1"/>
  <c r="I394" i="1"/>
  <c r="H394" i="1"/>
  <c r="G394" i="1"/>
  <c r="F394" i="1"/>
  <c r="E394" i="1"/>
  <c r="D394" i="1"/>
  <c r="C394" i="1"/>
  <c r="J393" i="1"/>
  <c r="I393" i="1"/>
  <c r="H393" i="1"/>
  <c r="G393" i="1"/>
  <c r="F393" i="1"/>
  <c r="E393" i="1"/>
  <c r="D393" i="1"/>
  <c r="C393" i="1"/>
  <c r="J392" i="1"/>
  <c r="I392" i="1"/>
  <c r="H392" i="1"/>
  <c r="G392" i="1"/>
  <c r="F392" i="1"/>
  <c r="E392" i="1"/>
  <c r="D392" i="1"/>
  <c r="C392" i="1"/>
  <c r="J391" i="1"/>
  <c r="I391" i="1"/>
  <c r="H391" i="1"/>
  <c r="G391" i="1"/>
  <c r="F391" i="1"/>
  <c r="E391" i="1"/>
  <c r="D391" i="1"/>
  <c r="C391" i="1"/>
  <c r="J390" i="1"/>
  <c r="I390" i="1"/>
  <c r="H390" i="1"/>
  <c r="G390" i="1"/>
  <c r="F390" i="1"/>
  <c r="E390" i="1"/>
  <c r="D390" i="1"/>
  <c r="C390" i="1"/>
  <c r="J389" i="1"/>
  <c r="I389" i="1"/>
  <c r="H389" i="1"/>
  <c r="G389" i="1"/>
  <c r="F389" i="1"/>
  <c r="E389" i="1"/>
  <c r="D389" i="1"/>
  <c r="C389" i="1"/>
  <c r="J388" i="1"/>
  <c r="I388" i="1"/>
  <c r="H388" i="1"/>
  <c r="G388" i="1"/>
  <c r="F388" i="1"/>
  <c r="E388" i="1"/>
  <c r="D388" i="1"/>
  <c r="C388" i="1"/>
  <c r="J387" i="1"/>
  <c r="I387" i="1"/>
  <c r="H387" i="1"/>
  <c r="G387" i="1"/>
  <c r="F387" i="1"/>
  <c r="E387" i="1"/>
  <c r="D387" i="1"/>
  <c r="C387" i="1"/>
  <c r="J386" i="1"/>
  <c r="I386" i="1"/>
  <c r="H386" i="1"/>
  <c r="G386" i="1"/>
  <c r="F386" i="1"/>
  <c r="E386" i="1"/>
  <c r="D386" i="1"/>
  <c r="C386" i="1"/>
  <c r="J385" i="1"/>
  <c r="I385" i="1"/>
  <c r="H385" i="1"/>
  <c r="G385" i="1"/>
  <c r="F385" i="1"/>
  <c r="E385" i="1"/>
  <c r="D385" i="1"/>
  <c r="C385" i="1"/>
  <c r="J384" i="1"/>
  <c r="I384" i="1"/>
  <c r="H384" i="1"/>
  <c r="G384" i="1"/>
  <c r="F384" i="1"/>
  <c r="E384" i="1"/>
  <c r="D384" i="1"/>
  <c r="C384" i="1"/>
  <c r="J383" i="1"/>
  <c r="I383" i="1"/>
  <c r="H383" i="1"/>
  <c r="G383" i="1"/>
  <c r="F383" i="1"/>
  <c r="E383" i="1"/>
  <c r="D383" i="1"/>
  <c r="C383" i="1"/>
  <c r="J382" i="1"/>
  <c r="I382" i="1"/>
  <c r="H382" i="1"/>
  <c r="G382" i="1"/>
  <c r="F382" i="1"/>
  <c r="E382" i="1"/>
  <c r="D382" i="1"/>
  <c r="C382" i="1"/>
  <c r="J381" i="1"/>
  <c r="I381" i="1"/>
  <c r="H381" i="1"/>
  <c r="G381" i="1"/>
  <c r="F381" i="1"/>
  <c r="E381" i="1"/>
  <c r="D381" i="1"/>
  <c r="C381" i="1"/>
  <c r="J380" i="1"/>
  <c r="I380" i="1"/>
  <c r="H380" i="1"/>
  <c r="G380" i="1"/>
  <c r="F380" i="1"/>
  <c r="E380" i="1"/>
  <c r="J379" i="1"/>
  <c r="I379" i="1"/>
  <c r="H379" i="1"/>
  <c r="G379" i="1"/>
  <c r="F379" i="1"/>
  <c r="E379" i="1"/>
  <c r="J378" i="1"/>
  <c r="I378" i="1"/>
  <c r="H378" i="1"/>
  <c r="G378" i="1"/>
  <c r="F378" i="1"/>
  <c r="E378" i="1"/>
  <c r="J377" i="1"/>
  <c r="I377" i="1"/>
  <c r="H377" i="1"/>
  <c r="G377" i="1"/>
  <c r="F377" i="1"/>
  <c r="E377" i="1"/>
  <c r="D377" i="1"/>
  <c r="C377" i="1"/>
  <c r="J376" i="1"/>
  <c r="I376" i="1"/>
  <c r="H376" i="1"/>
  <c r="G376" i="1"/>
  <c r="F376" i="1"/>
  <c r="E376" i="1"/>
  <c r="D376" i="1"/>
  <c r="C376" i="1"/>
  <c r="J375" i="1"/>
  <c r="I375" i="1"/>
  <c r="H375" i="1"/>
  <c r="G375" i="1"/>
  <c r="F375" i="1"/>
  <c r="E375" i="1"/>
  <c r="D375" i="1"/>
  <c r="C375" i="1"/>
  <c r="J374" i="1"/>
  <c r="I374" i="1"/>
  <c r="H374" i="1"/>
  <c r="G374" i="1"/>
  <c r="F374" i="1"/>
  <c r="E374" i="1"/>
  <c r="D374" i="1"/>
  <c r="C374"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K153" i="9" l="1"/>
  <c r="H1097" i="5" l="1"/>
  <c r="H1096" i="5"/>
  <c r="H1095" i="5"/>
  <c r="H1094" i="5"/>
  <c r="H1093" i="5"/>
  <c r="H1092" i="5"/>
  <c r="H1091" i="5"/>
  <c r="H1090" i="5"/>
  <c r="H1089" i="5"/>
  <c r="H1088" i="5"/>
  <c r="H1087" i="5"/>
  <c r="H1086" i="5"/>
  <c r="H1085" i="5"/>
  <c r="H1084" i="5"/>
  <c r="H1083" i="5"/>
  <c r="H1082" i="5"/>
  <c r="H1081" i="5"/>
  <c r="H1080" i="5"/>
  <c r="H1079" i="5"/>
  <c r="H1078" i="5"/>
  <c r="H1077" i="5"/>
  <c r="H1076" i="5"/>
  <c r="H1075" i="5"/>
  <c r="H1074" i="5"/>
  <c r="H1073" i="5"/>
  <c r="H1072" i="5"/>
  <c r="H1071" i="5"/>
  <c r="H1070" i="5"/>
  <c r="H1069" i="5"/>
  <c r="H1068" i="5"/>
  <c r="H1067" i="5"/>
  <c r="H1066" i="5"/>
  <c r="H1065" i="5"/>
  <c r="B92" i="5"/>
  <c r="H1058" i="5"/>
  <c r="H1057" i="5"/>
  <c r="H1054" i="5"/>
  <c r="H1053" i="5"/>
  <c r="H1052" i="5"/>
  <c r="H1051" i="5"/>
  <c r="H1050" i="5"/>
  <c r="H1049" i="5"/>
  <c r="H1048" i="5"/>
  <c r="H1047" i="5"/>
  <c r="H1046" i="5"/>
  <c r="H1045" i="5"/>
  <c r="H1044" i="5"/>
  <c r="H1043" i="5"/>
  <c r="H1042" i="5"/>
  <c r="H1041" i="5"/>
  <c r="H1040" i="5"/>
  <c r="H1039" i="5"/>
  <c r="H1038" i="5"/>
  <c r="H1037" i="5"/>
  <c r="H1036" i="5"/>
  <c r="H1035" i="5"/>
  <c r="H1034" i="5"/>
  <c r="H1033" i="5"/>
  <c r="H1032" i="5"/>
  <c r="H1031" i="5"/>
  <c r="H1030" i="5"/>
  <c r="H1029" i="5"/>
  <c r="H1028" i="5"/>
  <c r="H1027" i="5"/>
  <c r="H1026" i="5"/>
  <c r="H1025" i="5"/>
  <c r="D409" i="1" l="1"/>
  <c r="K195" i="1" l="1"/>
  <c r="B238" i="1"/>
  <c r="C238" i="1"/>
  <c r="D238" i="1"/>
  <c r="E238" i="1"/>
  <c r="F238" i="1"/>
  <c r="G238" i="1"/>
  <c r="H238" i="1"/>
  <c r="I238" i="1"/>
  <c r="J238" i="1"/>
  <c r="L238" i="1" l="1"/>
  <c r="J324" i="1"/>
  <c r="I324" i="1"/>
  <c r="H324" i="1"/>
  <c r="G324" i="1"/>
  <c r="F324" i="1"/>
  <c r="E324" i="1"/>
  <c r="D324" i="1"/>
  <c r="C324" i="1"/>
  <c r="B324" i="1"/>
  <c r="J281" i="1"/>
  <c r="I281" i="1"/>
  <c r="H281" i="1"/>
  <c r="G281" i="1"/>
  <c r="F281" i="1"/>
  <c r="E281" i="1"/>
  <c r="D281" i="1"/>
  <c r="C281" i="1"/>
  <c r="B281" i="1"/>
  <c r="J195" i="1"/>
  <c r="I195" i="1"/>
  <c r="H195" i="1"/>
  <c r="G195" i="1"/>
  <c r="F195" i="1"/>
  <c r="E195" i="1"/>
  <c r="D195" i="1"/>
  <c r="C195" i="1"/>
  <c r="B195" i="1"/>
  <c r="J152" i="1"/>
  <c r="I152" i="1"/>
  <c r="H152" i="1"/>
  <c r="G152" i="1"/>
  <c r="F152" i="1"/>
  <c r="E152" i="1"/>
  <c r="D152" i="1"/>
  <c r="C152" i="1"/>
  <c r="B152" i="1"/>
  <c r="B109" i="1"/>
  <c r="J109" i="1"/>
  <c r="I109" i="1"/>
  <c r="H109" i="1"/>
  <c r="G109" i="1"/>
  <c r="F109" i="1"/>
  <c r="E109" i="1"/>
  <c r="D109" i="1"/>
  <c r="C109" i="1"/>
  <c r="L195" i="1" l="1"/>
  <c r="L324" i="1"/>
  <c r="L281" i="1"/>
  <c r="L152" i="1"/>
  <c r="L109" i="1"/>
  <c r="AK169" i="9"/>
  <c r="AK168" i="9"/>
  <c r="AK167" i="9"/>
  <c r="AK166" i="9"/>
  <c r="AK165" i="9"/>
  <c r="AK164" i="9"/>
  <c r="AK163" i="9"/>
  <c r="AK162" i="9"/>
  <c r="AK161" i="9"/>
  <c r="AK160" i="9"/>
  <c r="AK159" i="9"/>
  <c r="AK158" i="9"/>
  <c r="AK157" i="9"/>
  <c r="AK156" i="9"/>
  <c r="AK155" i="9"/>
  <c r="AK154" i="9"/>
  <c r="AK153" i="9"/>
  <c r="AK152" i="9"/>
  <c r="AK151" i="9"/>
  <c r="AK150" i="9"/>
  <c r="AK149" i="9"/>
  <c r="AK148" i="9"/>
  <c r="AK147" i="9"/>
  <c r="AK146" i="9"/>
  <c r="AK145" i="9"/>
  <c r="AK144" i="9"/>
  <c r="AK143" i="9"/>
  <c r="AK142" i="9"/>
  <c r="AK141" i="9"/>
  <c r="AK140" i="9"/>
  <c r="AK139" i="9"/>
  <c r="AK138" i="9"/>
  <c r="AK137" i="9"/>
  <c r="AJ170" i="9"/>
  <c r="AI170" i="9"/>
  <c r="AM170" i="9"/>
  <c r="AH170" i="9"/>
  <c r="AG170" i="9"/>
  <c r="AF170" i="9"/>
  <c r="AE170" i="9"/>
  <c r="AD170" i="9"/>
  <c r="AC170" i="9"/>
  <c r="AB170" i="9"/>
  <c r="AC88" i="9"/>
  <c r="AK170" i="9" l="1"/>
  <c r="AL170" i="9"/>
  <c r="P43" i="9"/>
  <c r="S43" i="9" l="1"/>
  <c r="J177" i="9"/>
  <c r="I177" i="9"/>
  <c r="H177" i="9"/>
  <c r="G177" i="9"/>
  <c r="F177" i="9"/>
  <c r="E177" i="9"/>
  <c r="D177" i="9"/>
  <c r="C177" i="9"/>
  <c r="B177" i="9"/>
  <c r="K176" i="9"/>
  <c r="K175" i="9"/>
  <c r="K174" i="9"/>
  <c r="K173" i="9"/>
  <c r="K172" i="9"/>
  <c r="K171" i="9"/>
  <c r="K170" i="9"/>
  <c r="K169" i="9"/>
  <c r="K168" i="9"/>
  <c r="K167" i="9"/>
  <c r="K166" i="9"/>
  <c r="K165" i="9"/>
  <c r="K164" i="9"/>
  <c r="K163" i="9"/>
  <c r="K162" i="9"/>
  <c r="K161" i="9"/>
  <c r="K160" i="9"/>
  <c r="K159" i="9"/>
  <c r="K158" i="9"/>
  <c r="K157" i="9"/>
  <c r="K156" i="9"/>
  <c r="K155" i="9"/>
  <c r="K154" i="9"/>
  <c r="K152" i="9"/>
  <c r="K151" i="9"/>
  <c r="K150" i="9"/>
  <c r="K149" i="9"/>
  <c r="K148" i="9"/>
  <c r="K147" i="9"/>
  <c r="K146" i="9"/>
  <c r="K145" i="9"/>
  <c r="K144" i="9"/>
  <c r="K143" i="9"/>
  <c r="K142" i="9"/>
  <c r="K177" i="9" l="1"/>
  <c r="V41" i="3"/>
  <c r="C409" i="1" l="1"/>
  <c r="I409" i="1" l="1"/>
  <c r="B409" i="1"/>
  <c r="E409" i="1"/>
  <c r="J409" i="1"/>
  <c r="F409" i="1"/>
  <c r="H409" i="1"/>
  <c r="G409" i="1"/>
  <c r="L409" i="1" l="1"/>
  <c r="B56" i="1"/>
  <c r="H34" i="1"/>
  <c r="G34" i="1"/>
  <c r="U41" i="3" l="1"/>
  <c r="K271" i="3"/>
  <c r="K246" i="3"/>
  <c r="T41" i="3"/>
  <c r="K281" i="3" l="1"/>
  <c r="V92" i="5"/>
  <c r="O42" i="5" l="1"/>
  <c r="U92" i="5" l="1"/>
  <c r="AK128" i="9" l="1"/>
  <c r="AK127" i="9"/>
  <c r="AK126" i="9"/>
  <c r="AK125" i="9"/>
  <c r="AK124" i="9"/>
  <c r="AK123" i="9"/>
  <c r="AK122" i="9"/>
  <c r="AK121" i="9"/>
  <c r="AK120" i="9"/>
  <c r="AK119" i="9"/>
  <c r="AK118" i="9"/>
  <c r="AK117" i="9"/>
  <c r="AK116" i="9"/>
  <c r="AK115" i="9"/>
  <c r="AK114" i="9"/>
  <c r="AK113" i="9"/>
  <c r="AK112" i="9"/>
  <c r="AK111" i="9"/>
  <c r="AK110" i="9"/>
  <c r="AK109" i="9"/>
  <c r="AK108" i="9"/>
  <c r="AK107" i="9"/>
  <c r="AK106" i="9"/>
  <c r="AK105" i="9"/>
  <c r="AK104" i="9"/>
  <c r="AK103" i="9"/>
  <c r="AK102" i="9"/>
  <c r="AK101" i="9"/>
  <c r="AK100" i="9"/>
  <c r="AK99" i="9"/>
  <c r="AK98" i="9"/>
  <c r="AK97" i="9"/>
  <c r="AK96" i="9"/>
  <c r="AJ129" i="9"/>
  <c r="AI129" i="9"/>
  <c r="AH129" i="9"/>
  <c r="AG129" i="9"/>
  <c r="AF129" i="9"/>
  <c r="AE129" i="9"/>
  <c r="AD129" i="9"/>
  <c r="AC129" i="9"/>
  <c r="AB129" i="9"/>
  <c r="AL129" i="9" l="1"/>
  <c r="AK129" i="9"/>
  <c r="R43" i="9" l="1"/>
  <c r="J134" i="9"/>
  <c r="I134" i="9"/>
  <c r="H134" i="9"/>
  <c r="G134" i="9"/>
  <c r="F134" i="9"/>
  <c r="E134" i="9"/>
  <c r="D134" i="9"/>
  <c r="C134" i="9"/>
  <c r="B134" i="9"/>
  <c r="K133" i="9"/>
  <c r="K132" i="9"/>
  <c r="K131" i="9"/>
  <c r="K130" i="9"/>
  <c r="K129" i="9"/>
  <c r="K128" i="9"/>
  <c r="K127" i="9"/>
  <c r="K126" i="9"/>
  <c r="K125" i="9"/>
  <c r="K124" i="9"/>
  <c r="K123" i="9"/>
  <c r="K122" i="9"/>
  <c r="K121" i="9"/>
  <c r="K120" i="9"/>
  <c r="K119" i="9"/>
  <c r="K118" i="9"/>
  <c r="K117" i="9"/>
  <c r="K116" i="9"/>
  <c r="K115" i="9"/>
  <c r="K114" i="9"/>
  <c r="K113" i="9"/>
  <c r="K112" i="9"/>
  <c r="K111" i="9"/>
  <c r="K109" i="9"/>
  <c r="K108" i="9"/>
  <c r="K107" i="9"/>
  <c r="K106" i="9"/>
  <c r="K105" i="9"/>
  <c r="K104" i="9"/>
  <c r="K103" i="9"/>
  <c r="K102" i="9"/>
  <c r="K101" i="9"/>
  <c r="K100" i="9"/>
  <c r="K99" i="9"/>
  <c r="K134" i="9" l="1"/>
  <c r="K324" i="1" l="1"/>
  <c r="H64" i="1"/>
  <c r="H63" i="1"/>
  <c r="H62" i="1"/>
  <c r="H60" i="1"/>
  <c r="H59" i="1"/>
  <c r="H58" i="1"/>
  <c r="H57" i="1"/>
  <c r="H56" i="1"/>
  <c r="H55" i="1"/>
  <c r="H54" i="1"/>
  <c r="H53" i="1"/>
  <c r="H52" i="1"/>
  <c r="H51" i="1"/>
  <c r="H50" i="1"/>
  <c r="H49" i="1"/>
  <c r="H48" i="1"/>
  <c r="H47" i="1"/>
  <c r="H46" i="1"/>
  <c r="H45" i="1"/>
  <c r="H44" i="1"/>
  <c r="H43" i="1"/>
  <c r="H42" i="1"/>
  <c r="H41" i="1"/>
  <c r="H40" i="1"/>
  <c r="H39" i="1"/>
  <c r="H38" i="1"/>
  <c r="H37" i="1"/>
  <c r="H36" i="1"/>
  <c r="H35" i="1"/>
  <c r="H32" i="1"/>
  <c r="H31" i="1"/>
  <c r="G60" i="1"/>
  <c r="G58" i="1"/>
  <c r="G57" i="1"/>
  <c r="G56" i="1"/>
  <c r="G55" i="1"/>
  <c r="G54" i="1"/>
  <c r="G53" i="1"/>
  <c r="G52" i="1"/>
  <c r="G51" i="1"/>
  <c r="G50" i="1"/>
  <c r="G49" i="1"/>
  <c r="G48" i="1"/>
  <c r="G47" i="1"/>
  <c r="G46" i="1"/>
  <c r="G45" i="1"/>
  <c r="G44" i="1"/>
  <c r="G43" i="1"/>
  <c r="G42" i="1"/>
  <c r="G41" i="1"/>
  <c r="G40" i="1"/>
  <c r="G39" i="1"/>
  <c r="G38" i="1"/>
  <c r="G37" i="1"/>
  <c r="G36" i="1"/>
  <c r="G35" i="1"/>
  <c r="G32" i="1"/>
  <c r="G31" i="1"/>
  <c r="G30" i="1"/>
  <c r="H65" i="1" l="1"/>
  <c r="F48" i="1"/>
  <c r="F46" i="1"/>
  <c r="F40" i="1"/>
  <c r="E44" i="1"/>
  <c r="E30" i="1" l="1"/>
  <c r="E31" i="1"/>
  <c r="F64" i="1" l="1"/>
  <c r="F63" i="1"/>
  <c r="F62" i="1"/>
  <c r="F61" i="1"/>
  <c r="F60" i="1"/>
  <c r="F59" i="1"/>
  <c r="F58" i="1"/>
  <c r="F57" i="1"/>
  <c r="F56" i="1"/>
  <c r="F55" i="1"/>
  <c r="F54" i="1"/>
  <c r="F53" i="1"/>
  <c r="F52" i="1"/>
  <c r="F51" i="1"/>
  <c r="F50" i="1"/>
  <c r="F49" i="1"/>
  <c r="AJ88" i="9" l="1"/>
  <c r="AI88" i="9"/>
  <c r="AH88" i="9"/>
  <c r="AG88" i="9"/>
  <c r="AF88" i="9"/>
  <c r="AE88" i="9"/>
  <c r="AD88" i="9"/>
  <c r="AB88" i="9"/>
  <c r="AK87" i="9"/>
  <c r="AK86" i="9"/>
  <c r="AK85" i="9"/>
  <c r="AK84" i="9"/>
  <c r="AK83" i="9"/>
  <c r="AK82" i="9"/>
  <c r="AK81" i="9"/>
  <c r="AK80" i="9"/>
  <c r="AK79" i="9"/>
  <c r="AK78" i="9"/>
  <c r="AK77" i="9"/>
  <c r="AK76" i="9"/>
  <c r="AK75" i="9"/>
  <c r="AK74" i="9"/>
  <c r="AK73" i="9"/>
  <c r="AK72" i="9"/>
  <c r="AK71" i="9"/>
  <c r="AK70" i="9"/>
  <c r="AK69" i="9"/>
  <c r="AK68" i="9"/>
  <c r="AK67" i="9"/>
  <c r="AK66" i="9"/>
  <c r="AK65" i="9"/>
  <c r="AK64" i="9"/>
  <c r="AK63" i="9"/>
  <c r="AK62" i="9"/>
  <c r="AK61" i="9"/>
  <c r="AK60" i="9"/>
  <c r="AK59" i="9"/>
  <c r="AK58" i="9"/>
  <c r="AK57" i="9"/>
  <c r="AK56" i="9"/>
  <c r="AK55" i="9"/>
  <c r="AK88" i="9" l="1"/>
  <c r="AL88" i="9"/>
  <c r="Q43" i="9"/>
  <c r="W43" i="9" s="1"/>
  <c r="J91" i="9" l="1"/>
  <c r="I91" i="9"/>
  <c r="H91" i="9"/>
  <c r="G91" i="9"/>
  <c r="F91" i="9"/>
  <c r="E91" i="9"/>
  <c r="D91" i="9"/>
  <c r="C91" i="9"/>
  <c r="B91" i="9"/>
  <c r="K90" i="9"/>
  <c r="K89" i="9"/>
  <c r="K88" i="9"/>
  <c r="K87" i="9"/>
  <c r="K86" i="9"/>
  <c r="K85" i="9"/>
  <c r="K84" i="9"/>
  <c r="K83" i="9"/>
  <c r="K82" i="9"/>
  <c r="K81" i="9"/>
  <c r="K80" i="9"/>
  <c r="K79" i="9"/>
  <c r="K78" i="9"/>
  <c r="K77" i="9"/>
  <c r="K76" i="9"/>
  <c r="K75" i="9"/>
  <c r="K74" i="9"/>
  <c r="K73" i="9"/>
  <c r="K72" i="9"/>
  <c r="K71" i="9"/>
  <c r="K70" i="9"/>
  <c r="K69" i="9"/>
  <c r="K68" i="9"/>
  <c r="K66" i="9"/>
  <c r="K65" i="9"/>
  <c r="K64" i="9"/>
  <c r="K63" i="9"/>
  <c r="K62" i="9"/>
  <c r="K61" i="9"/>
  <c r="K60" i="9"/>
  <c r="K59" i="9"/>
  <c r="K58" i="9"/>
  <c r="K57" i="9"/>
  <c r="K56" i="9"/>
  <c r="J51" i="8"/>
  <c r="I51" i="8"/>
  <c r="H51" i="8"/>
  <c r="G51" i="8"/>
  <c r="F51" i="8"/>
  <c r="E51" i="8"/>
  <c r="D51" i="8"/>
  <c r="C51" i="8"/>
  <c r="B51" i="8"/>
  <c r="L51" i="8" l="1"/>
  <c r="K91" i="9"/>
  <c r="AJ45" i="9" l="1"/>
  <c r="AI45" i="9"/>
  <c r="AH45" i="9"/>
  <c r="AG45" i="9"/>
  <c r="AF45" i="9"/>
  <c r="AE45" i="9"/>
  <c r="AD45" i="9"/>
  <c r="AC45" i="9"/>
  <c r="AB45" i="9"/>
  <c r="AK44" i="9"/>
  <c r="AK43" i="9"/>
  <c r="AK42" i="9"/>
  <c r="AK41" i="9"/>
  <c r="AK40" i="9"/>
  <c r="AK39" i="9"/>
  <c r="AK38" i="9"/>
  <c r="AK37" i="9"/>
  <c r="AK36" i="9"/>
  <c r="AK35" i="9"/>
  <c r="AK34" i="9"/>
  <c r="AK33" i="9"/>
  <c r="AK32" i="9"/>
  <c r="AK31" i="9"/>
  <c r="AK30" i="9"/>
  <c r="AK29" i="9"/>
  <c r="AK28" i="9"/>
  <c r="AK27" i="9"/>
  <c r="AK26" i="9"/>
  <c r="AK25" i="9"/>
  <c r="AK24" i="9"/>
  <c r="AK23" i="9"/>
  <c r="AK22" i="9"/>
  <c r="AK21" i="9"/>
  <c r="AK20" i="9"/>
  <c r="AK19" i="9"/>
  <c r="AK18" i="9"/>
  <c r="AK17" i="9"/>
  <c r="AK16" i="9"/>
  <c r="AK15" i="9"/>
  <c r="AK14" i="9"/>
  <c r="AK13" i="9"/>
  <c r="AK12" i="9"/>
  <c r="J47" i="9"/>
  <c r="I47" i="9"/>
  <c r="H47" i="9"/>
  <c r="G47" i="9"/>
  <c r="F47" i="9"/>
  <c r="E47" i="9"/>
  <c r="D47" i="9"/>
  <c r="C47" i="9"/>
  <c r="B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AL45" i="9" l="1"/>
  <c r="K47" i="9"/>
  <c r="AK45" i="9"/>
  <c r="S92" i="5" l="1"/>
  <c r="N42" i="5"/>
  <c r="B44" i="5" s="1"/>
  <c r="N199" i="3" l="1"/>
  <c r="S41" i="3" l="1"/>
  <c r="R41" i="3"/>
  <c r="Q41" i="3"/>
  <c r="P41" i="3"/>
  <c r="O41" i="3"/>
  <c r="Z41" i="3" l="1"/>
  <c r="E45" i="1" l="1"/>
  <c r="D49" i="1" l="1"/>
  <c r="D55" i="1"/>
  <c r="D59" i="1"/>
  <c r="D54" i="1"/>
  <c r="J49" i="1"/>
  <c r="C46" i="1"/>
  <c r="J48" i="1" l="1"/>
  <c r="I48" i="1"/>
  <c r="H847" i="5" l="1"/>
  <c r="H846" i="5"/>
  <c r="H845" i="5"/>
  <c r="H844" i="5"/>
  <c r="H843" i="5"/>
  <c r="H842" i="5"/>
  <c r="H841" i="5"/>
  <c r="H840" i="5"/>
  <c r="H839" i="5"/>
  <c r="H838" i="5"/>
  <c r="H837" i="5"/>
  <c r="H836" i="5"/>
  <c r="H835" i="5"/>
  <c r="H834" i="5"/>
  <c r="H833" i="5"/>
  <c r="H832" i="5"/>
  <c r="H831" i="5"/>
  <c r="H830" i="5"/>
  <c r="H829" i="5"/>
  <c r="H828" i="5"/>
  <c r="H827" i="5"/>
  <c r="H826" i="5"/>
  <c r="H825" i="5"/>
  <c r="H824" i="5"/>
  <c r="H823" i="5"/>
  <c r="H822" i="5"/>
  <c r="H821" i="5"/>
  <c r="H820" i="5"/>
  <c r="H819" i="5"/>
  <c r="H818" i="5"/>
  <c r="H817" i="5"/>
  <c r="H816" i="5"/>
  <c r="H815" i="5"/>
  <c r="H807" i="5"/>
  <c r="H806" i="5"/>
  <c r="H805" i="5"/>
  <c r="H804" i="5"/>
  <c r="H803" i="5"/>
  <c r="H802" i="5"/>
  <c r="H801" i="5"/>
  <c r="H800" i="5"/>
  <c r="H799" i="5"/>
  <c r="H798" i="5"/>
  <c r="H797" i="5"/>
  <c r="H796" i="5"/>
  <c r="H795" i="5"/>
  <c r="H794" i="5"/>
  <c r="H793" i="5"/>
  <c r="H792" i="5"/>
  <c r="H791" i="5"/>
  <c r="H790" i="5"/>
  <c r="H789" i="5"/>
  <c r="H788" i="5"/>
  <c r="H787" i="5"/>
  <c r="H786" i="5"/>
  <c r="H785" i="5"/>
  <c r="H784" i="5"/>
  <c r="H783" i="5"/>
  <c r="H782" i="5"/>
  <c r="H781" i="5"/>
  <c r="H780" i="5"/>
  <c r="H779" i="5"/>
  <c r="H778" i="5"/>
  <c r="H777" i="5"/>
  <c r="H776" i="5"/>
  <c r="H775" i="5"/>
  <c r="J64" i="1" l="1"/>
  <c r="I64" i="1"/>
  <c r="G64" i="1"/>
  <c r="E64" i="1"/>
  <c r="D64" i="1"/>
  <c r="C64" i="1"/>
  <c r="J63" i="1"/>
  <c r="I63" i="1"/>
  <c r="G63" i="1"/>
  <c r="E63" i="1"/>
  <c r="D63" i="1"/>
  <c r="C63" i="1"/>
  <c r="J62" i="1"/>
  <c r="I62" i="1"/>
  <c r="G62" i="1"/>
  <c r="E62" i="1"/>
  <c r="D62" i="1"/>
  <c r="C62" i="1"/>
  <c r="J61" i="1"/>
  <c r="I61" i="1"/>
  <c r="G61" i="1"/>
  <c r="E61" i="1"/>
  <c r="D61" i="1"/>
  <c r="C61" i="1"/>
  <c r="J60" i="1"/>
  <c r="I60" i="1"/>
  <c r="E60" i="1"/>
  <c r="D60" i="1"/>
  <c r="C60" i="1"/>
  <c r="J59" i="1"/>
  <c r="I59" i="1"/>
  <c r="E59" i="1"/>
  <c r="C59" i="1"/>
  <c r="J58" i="1"/>
  <c r="I58" i="1"/>
  <c r="E58" i="1"/>
  <c r="D58" i="1"/>
  <c r="C58" i="1"/>
  <c r="J57" i="1"/>
  <c r="I57" i="1"/>
  <c r="E57" i="1"/>
  <c r="D57" i="1"/>
  <c r="C57" i="1"/>
  <c r="J56" i="1"/>
  <c r="I56" i="1"/>
  <c r="E56" i="1"/>
  <c r="D56" i="1"/>
  <c r="C56" i="1"/>
  <c r="J55" i="1"/>
  <c r="I55" i="1"/>
  <c r="E55" i="1"/>
  <c r="C55" i="1"/>
  <c r="J54" i="1"/>
  <c r="I54" i="1"/>
  <c r="E54" i="1"/>
  <c r="C54" i="1"/>
  <c r="J53" i="1"/>
  <c r="I53" i="1"/>
  <c r="E53" i="1"/>
  <c r="D53" i="1"/>
  <c r="C53" i="1"/>
  <c r="J52" i="1"/>
  <c r="I52" i="1"/>
  <c r="E52" i="1"/>
  <c r="D52" i="1"/>
  <c r="C52" i="1"/>
  <c r="J51" i="1"/>
  <c r="I51" i="1"/>
  <c r="E51" i="1"/>
  <c r="D51" i="1"/>
  <c r="C51" i="1"/>
  <c r="J50" i="1"/>
  <c r="I50" i="1"/>
  <c r="E50" i="1"/>
  <c r="D50" i="1"/>
  <c r="C50" i="1"/>
  <c r="I49" i="1"/>
  <c r="E49" i="1"/>
  <c r="C49" i="1"/>
  <c r="E48" i="1"/>
  <c r="D48" i="1"/>
  <c r="C48" i="1"/>
  <c r="J47" i="1"/>
  <c r="I47" i="1"/>
  <c r="F47" i="1"/>
  <c r="E47" i="1"/>
  <c r="D47" i="1"/>
  <c r="C47" i="1"/>
  <c r="J46" i="1"/>
  <c r="I46" i="1"/>
  <c r="E46" i="1"/>
  <c r="D46" i="1"/>
  <c r="J45" i="1"/>
  <c r="I45" i="1"/>
  <c r="F45" i="1"/>
  <c r="D45" i="1"/>
  <c r="C45" i="1"/>
  <c r="J44" i="1"/>
  <c r="I44" i="1"/>
  <c r="F44" i="1"/>
  <c r="D44" i="1"/>
  <c r="C44" i="1"/>
  <c r="J43" i="1"/>
  <c r="I43" i="1"/>
  <c r="F43" i="1"/>
  <c r="E43" i="1"/>
  <c r="D43" i="1"/>
  <c r="C43" i="1"/>
  <c r="J42" i="1"/>
  <c r="I42" i="1"/>
  <c r="F42" i="1"/>
  <c r="E42" i="1"/>
  <c r="D42" i="1"/>
  <c r="C42" i="1"/>
  <c r="J41" i="1"/>
  <c r="I41" i="1"/>
  <c r="F41" i="1"/>
  <c r="E41" i="1"/>
  <c r="D41" i="1"/>
  <c r="C41" i="1"/>
  <c r="J40" i="1"/>
  <c r="I40" i="1"/>
  <c r="E40" i="1"/>
  <c r="D40" i="1"/>
  <c r="C40" i="1"/>
  <c r="J39" i="1"/>
  <c r="I39" i="1"/>
  <c r="F39" i="1"/>
  <c r="E39" i="1"/>
  <c r="D39" i="1"/>
  <c r="C39" i="1"/>
  <c r="J38" i="1"/>
  <c r="I38" i="1"/>
  <c r="F38" i="1"/>
  <c r="E38" i="1"/>
  <c r="D38" i="1"/>
  <c r="C38" i="1"/>
  <c r="J37" i="1"/>
  <c r="I37" i="1"/>
  <c r="F37" i="1"/>
  <c r="E37" i="1"/>
  <c r="D37" i="1"/>
  <c r="C37" i="1"/>
  <c r="J36" i="1"/>
  <c r="I36" i="1"/>
  <c r="F36" i="1"/>
  <c r="E36" i="1"/>
  <c r="J35" i="1"/>
  <c r="I35" i="1"/>
  <c r="F35" i="1"/>
  <c r="E35" i="1"/>
  <c r="J34" i="1"/>
  <c r="I34" i="1"/>
  <c r="F34" i="1"/>
  <c r="E34" i="1"/>
  <c r="J32" i="1"/>
  <c r="I32" i="1"/>
  <c r="F32" i="1"/>
  <c r="E32" i="1"/>
  <c r="D32" i="1"/>
  <c r="C32" i="1"/>
  <c r="J31" i="1"/>
  <c r="I31" i="1"/>
  <c r="F31" i="1"/>
  <c r="D31" i="1"/>
  <c r="C31" i="1"/>
  <c r="J30" i="1"/>
  <c r="I30" i="1"/>
  <c r="F30" i="1"/>
  <c r="D30" i="1"/>
  <c r="C30" i="1"/>
  <c r="B64" i="1"/>
  <c r="B63" i="1"/>
  <c r="B62" i="1"/>
  <c r="B61" i="1"/>
  <c r="B60" i="1"/>
  <c r="B59" i="1"/>
  <c r="B58" i="1"/>
  <c r="B57" i="1"/>
  <c r="B55" i="1"/>
  <c r="B54" i="1"/>
  <c r="B53" i="1"/>
  <c r="B52" i="1"/>
  <c r="B51" i="1"/>
  <c r="B50" i="1"/>
  <c r="B49" i="1"/>
  <c r="B48" i="1"/>
  <c r="B47" i="1"/>
  <c r="B46" i="1"/>
  <c r="B45" i="1"/>
  <c r="B44" i="1"/>
  <c r="B43" i="1"/>
  <c r="B42" i="1"/>
  <c r="B41" i="1"/>
  <c r="B40" i="1"/>
  <c r="B39" i="1"/>
  <c r="B38" i="1"/>
  <c r="B37" i="1"/>
  <c r="B35" i="1"/>
  <c r="B34" i="1"/>
  <c r="B32" i="1"/>
  <c r="B31" i="1"/>
  <c r="B30" i="1"/>
  <c r="G725" i="5"/>
  <c r="F725" i="5"/>
  <c r="E725" i="5"/>
  <c r="D725" i="5"/>
  <c r="C725" i="5"/>
  <c r="B725" i="5"/>
  <c r="H724" i="5"/>
  <c r="H723" i="5"/>
  <c r="H722" i="5"/>
  <c r="H721" i="5"/>
  <c r="H720" i="5"/>
  <c r="H719" i="5"/>
  <c r="H718" i="5"/>
  <c r="H717" i="5"/>
  <c r="H716" i="5"/>
  <c r="H715" i="5"/>
  <c r="H714" i="5"/>
  <c r="H713" i="5"/>
  <c r="H712" i="5"/>
  <c r="H711" i="5"/>
  <c r="H710" i="5"/>
  <c r="H709" i="5"/>
  <c r="H708" i="5"/>
  <c r="H707" i="5"/>
  <c r="H706" i="5"/>
  <c r="H705" i="5"/>
  <c r="H704" i="5"/>
  <c r="H703" i="5"/>
  <c r="H702" i="5"/>
  <c r="H701" i="5"/>
  <c r="H700" i="5"/>
  <c r="H699" i="5"/>
  <c r="H698" i="5"/>
  <c r="H697" i="5"/>
  <c r="H696" i="5"/>
  <c r="H695" i="5"/>
  <c r="H694" i="5"/>
  <c r="H693" i="5"/>
  <c r="H692" i="5"/>
  <c r="H691" i="5"/>
  <c r="H690" i="5"/>
  <c r="B43" i="5"/>
  <c r="C44" i="5" s="1"/>
  <c r="J292" i="5"/>
  <c r="K293" i="5"/>
  <c r="I293"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H680" i="5"/>
  <c r="H679" i="5"/>
  <c r="H678" i="5"/>
  <c r="H677" i="5"/>
  <c r="H676" i="5"/>
  <c r="H675" i="5"/>
  <c r="H674" i="5"/>
  <c r="H673" i="5"/>
  <c r="H672" i="5"/>
  <c r="H671" i="5"/>
  <c r="H670" i="5"/>
  <c r="H669" i="5"/>
  <c r="H668" i="5"/>
  <c r="H667" i="5"/>
  <c r="H666" i="5"/>
  <c r="H665" i="5"/>
  <c r="H664" i="5"/>
  <c r="H663" i="5"/>
  <c r="H662" i="5"/>
  <c r="H661" i="5"/>
  <c r="H660" i="5"/>
  <c r="H659" i="5"/>
  <c r="H658" i="5"/>
  <c r="H657" i="5"/>
  <c r="H656" i="5"/>
  <c r="H655" i="5"/>
  <c r="H654" i="5"/>
  <c r="H653" i="5"/>
  <c r="H652" i="5"/>
  <c r="H651" i="5"/>
  <c r="H650" i="5"/>
  <c r="H649" i="5"/>
  <c r="H648" i="5"/>
  <c r="H647" i="5"/>
  <c r="H646" i="5"/>
  <c r="G681" i="5"/>
  <c r="F681" i="5"/>
  <c r="E681" i="5"/>
  <c r="D681" i="5"/>
  <c r="C681" i="5"/>
  <c r="B681" i="5"/>
  <c r="H639" i="5"/>
  <c r="H638" i="5"/>
  <c r="H637" i="5"/>
  <c r="H636" i="5"/>
  <c r="H635" i="5"/>
  <c r="H634" i="5"/>
  <c r="H633" i="5"/>
  <c r="H632" i="5"/>
  <c r="H631" i="5"/>
  <c r="H630" i="5"/>
  <c r="H629" i="5"/>
  <c r="H628" i="5"/>
  <c r="H627" i="5"/>
  <c r="H626" i="5"/>
  <c r="H625" i="5"/>
  <c r="H624" i="5"/>
  <c r="H623" i="5"/>
  <c r="H622" i="5"/>
  <c r="H621" i="5"/>
  <c r="H620" i="5"/>
  <c r="H619" i="5"/>
  <c r="H618" i="5"/>
  <c r="H617" i="5"/>
  <c r="H616" i="5"/>
  <c r="H615" i="5"/>
  <c r="H614" i="5"/>
  <c r="H613" i="5"/>
  <c r="H612" i="5"/>
  <c r="H611" i="5"/>
  <c r="H610" i="5"/>
  <c r="H609" i="5"/>
  <c r="H608" i="5"/>
  <c r="H607" i="5"/>
  <c r="H606" i="5"/>
  <c r="H605" i="5"/>
  <c r="G640" i="5"/>
  <c r="F640" i="5"/>
  <c r="E640" i="5"/>
  <c r="D640" i="5"/>
  <c r="C640" i="5"/>
  <c r="B640" i="5"/>
  <c r="L92" i="5"/>
  <c r="K92" i="5"/>
  <c r="J92" i="5"/>
  <c r="I92" i="5"/>
  <c r="H92" i="5"/>
  <c r="G92" i="5"/>
  <c r="E92" i="5"/>
  <c r="D92" i="5"/>
  <c r="C92" i="5"/>
  <c r="F82" i="5"/>
  <c r="F72"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H520" i="5"/>
  <c r="G512" i="5"/>
  <c r="H511" i="5"/>
  <c r="H510" i="5"/>
  <c r="H509" i="5"/>
  <c r="H508" i="5"/>
  <c r="H507" i="5"/>
  <c r="H506" i="5"/>
  <c r="H505" i="5"/>
  <c r="H504" i="5"/>
  <c r="H503" i="5"/>
  <c r="H502" i="5"/>
  <c r="H501" i="5"/>
  <c r="H500" i="5"/>
  <c r="H499" i="5"/>
  <c r="H498" i="5"/>
  <c r="H497" i="5"/>
  <c r="H496" i="5"/>
  <c r="H495" i="5"/>
  <c r="H494" i="5"/>
  <c r="H493" i="5"/>
  <c r="H492" i="5"/>
  <c r="G485" i="5"/>
  <c r="H485" i="5" s="1"/>
  <c r="H484" i="5"/>
  <c r="H483" i="5"/>
  <c r="H482" i="5"/>
  <c r="H481" i="5"/>
  <c r="H480" i="5"/>
  <c r="H479" i="5"/>
  <c r="H478" i="5"/>
  <c r="H477" i="5"/>
  <c r="H476" i="5"/>
  <c r="H475" i="5"/>
  <c r="H474" i="5"/>
  <c r="H473" i="5"/>
  <c r="H472" i="5"/>
  <c r="H471" i="5"/>
  <c r="H470" i="5"/>
  <c r="H469" i="5"/>
  <c r="H468" i="5"/>
  <c r="H467" i="5"/>
  <c r="H466" i="5"/>
  <c r="H465" i="5"/>
  <c r="H464" i="5"/>
  <c r="H463" i="5"/>
  <c r="H462" i="5"/>
  <c r="H461" i="5"/>
  <c r="G451" i="5"/>
  <c r="F451" i="5"/>
  <c r="E451" i="5"/>
  <c r="D451" i="5"/>
  <c r="C451" i="5"/>
  <c r="B451" i="5"/>
  <c r="H450" i="5"/>
  <c r="H449" i="5"/>
  <c r="H448" i="5"/>
  <c r="H447" i="5"/>
  <c r="H446" i="5"/>
  <c r="H445" i="5"/>
  <c r="H444" i="5"/>
  <c r="H443" i="5"/>
  <c r="H442" i="5"/>
  <c r="H441" i="5"/>
  <c r="H440" i="5"/>
  <c r="H439" i="5"/>
  <c r="H438" i="5"/>
  <c r="H437" i="5"/>
  <c r="H436" i="5"/>
  <c r="H435" i="5"/>
  <c r="H434" i="5"/>
  <c r="H433" i="5"/>
  <c r="H432" i="5"/>
  <c r="H431" i="5"/>
  <c r="H430" i="5"/>
  <c r="H429" i="5"/>
  <c r="H428" i="5"/>
  <c r="G423" i="5"/>
  <c r="F423" i="5"/>
  <c r="E423" i="5"/>
  <c r="D423" i="5"/>
  <c r="C423" i="5"/>
  <c r="B423" i="5"/>
  <c r="H422" i="5"/>
  <c r="H421" i="5"/>
  <c r="H420" i="5"/>
  <c r="H419" i="5"/>
  <c r="H418" i="5"/>
  <c r="H417" i="5"/>
  <c r="H416" i="5"/>
  <c r="H415" i="5"/>
  <c r="H414" i="5"/>
  <c r="H413" i="5"/>
  <c r="H412" i="5"/>
  <c r="H411" i="5"/>
  <c r="H410" i="5"/>
  <c r="H409" i="5"/>
  <c r="H408" i="5"/>
  <c r="H407" i="5"/>
  <c r="H406" i="5"/>
  <c r="H405" i="5"/>
  <c r="H404" i="5"/>
  <c r="H403" i="5"/>
  <c r="H402" i="5"/>
  <c r="G397" i="5"/>
  <c r="F397" i="5"/>
  <c r="E397" i="5"/>
  <c r="D397" i="5"/>
  <c r="C397" i="5"/>
  <c r="B397" i="5"/>
  <c r="H396" i="5"/>
  <c r="H395" i="5"/>
  <c r="H394" i="5"/>
  <c r="H393" i="5"/>
  <c r="H392" i="5"/>
  <c r="H391" i="5"/>
  <c r="H390" i="5"/>
  <c r="H389" i="5"/>
  <c r="H388" i="5"/>
  <c r="H387" i="5"/>
  <c r="H386" i="5"/>
  <c r="H385" i="5"/>
  <c r="H384" i="5"/>
  <c r="H383" i="5"/>
  <c r="H382" i="5"/>
  <c r="H381" i="5"/>
  <c r="H380" i="5"/>
  <c r="H379" i="5"/>
  <c r="H378" i="5"/>
  <c r="H377" i="5"/>
  <c r="H376" i="5"/>
  <c r="G371" i="5"/>
  <c r="F371" i="5"/>
  <c r="E371" i="5"/>
  <c r="D371" i="5"/>
  <c r="C371" i="5"/>
  <c r="B371" i="5"/>
  <c r="H370" i="5"/>
  <c r="H369" i="5"/>
  <c r="H368" i="5"/>
  <c r="H367" i="5"/>
  <c r="H366" i="5"/>
  <c r="H365" i="5"/>
  <c r="H364" i="5"/>
  <c r="H363" i="5"/>
  <c r="H362" i="5"/>
  <c r="H361" i="5"/>
  <c r="H360" i="5"/>
  <c r="H359" i="5"/>
  <c r="H358" i="5"/>
  <c r="H357" i="5"/>
  <c r="H356" i="5"/>
  <c r="H355" i="5"/>
  <c r="H354" i="5"/>
  <c r="H353" i="5"/>
  <c r="H352" i="5"/>
  <c r="G347" i="5"/>
  <c r="F347" i="5"/>
  <c r="E347" i="5"/>
  <c r="D347" i="5"/>
  <c r="C347" i="5"/>
  <c r="B347" i="5"/>
  <c r="H346" i="5"/>
  <c r="H345" i="5"/>
  <c r="H344" i="5"/>
  <c r="H343" i="5"/>
  <c r="H342" i="5"/>
  <c r="H341" i="5"/>
  <c r="H340" i="5"/>
  <c r="H339" i="5"/>
  <c r="H338" i="5"/>
  <c r="H337" i="5"/>
  <c r="H336" i="5"/>
  <c r="G331" i="5"/>
  <c r="F331" i="5"/>
  <c r="E331" i="5"/>
  <c r="D331" i="5"/>
  <c r="C331" i="5"/>
  <c r="B331" i="5"/>
  <c r="H330" i="5"/>
  <c r="H329" i="5"/>
  <c r="H328" i="5"/>
  <c r="H327" i="5"/>
  <c r="H326" i="5"/>
  <c r="H325" i="5"/>
  <c r="H324" i="5"/>
  <c r="H323" i="5"/>
  <c r="H322" i="5"/>
  <c r="H321" i="5"/>
  <c r="H320" i="5"/>
  <c r="H319" i="5"/>
  <c r="H318" i="5"/>
  <c r="G313" i="5"/>
  <c r="F313" i="5"/>
  <c r="E313" i="5"/>
  <c r="D313" i="5"/>
  <c r="C313" i="5"/>
  <c r="B313" i="5"/>
  <c r="H312" i="5"/>
  <c r="H311" i="5"/>
  <c r="H310" i="5"/>
  <c r="H309" i="5"/>
  <c r="H308" i="5"/>
  <c r="H307" i="5"/>
  <c r="H306" i="5"/>
  <c r="H305" i="5"/>
  <c r="H304" i="5"/>
  <c r="H303" i="5"/>
  <c r="H302" i="5"/>
  <c r="AE256" i="5"/>
  <c r="AD256" i="5"/>
  <c r="AC256" i="5"/>
  <c r="AB256" i="5"/>
  <c r="AA256" i="5"/>
  <c r="Z256" i="5"/>
  <c r="Y256" i="5"/>
  <c r="X256" i="5"/>
  <c r="W256" i="5"/>
  <c r="V256" i="5"/>
  <c r="U256" i="5"/>
  <c r="T256" i="5"/>
  <c r="S256" i="5"/>
  <c r="R256" i="5"/>
  <c r="Q256" i="5"/>
  <c r="P256" i="5"/>
  <c r="O256" i="5"/>
  <c r="N256" i="5"/>
  <c r="M256" i="5"/>
  <c r="L256" i="5"/>
  <c r="K256" i="5"/>
  <c r="J256" i="5"/>
  <c r="I256" i="5"/>
  <c r="H256" i="5"/>
  <c r="G256" i="5"/>
  <c r="F256" i="5"/>
  <c r="E256" i="5"/>
  <c r="D256" i="5"/>
  <c r="C256" i="5"/>
  <c r="B256" i="5"/>
  <c r="AF255" i="5"/>
  <c r="AF254" i="5"/>
  <c r="AF253" i="5"/>
  <c r="AF252" i="5"/>
  <c r="AF251" i="5"/>
  <c r="AF250" i="5"/>
  <c r="AF249" i="5"/>
  <c r="AF248" i="5"/>
  <c r="AF247" i="5"/>
  <c r="AF246" i="5"/>
  <c r="AF245" i="5"/>
  <c r="AF244" i="5"/>
  <c r="AF243" i="5"/>
  <c r="AF242" i="5"/>
  <c r="AF241" i="5"/>
  <c r="AF240" i="5"/>
  <c r="AF239" i="5"/>
  <c r="AF238" i="5"/>
  <c r="AF237" i="5"/>
  <c r="AF236" i="5"/>
  <c r="AF235" i="5"/>
  <c r="AF234" i="5"/>
  <c r="AF233" i="5"/>
  <c r="AE227" i="5"/>
  <c r="AD227" i="5"/>
  <c r="AC227" i="5"/>
  <c r="AB227" i="5"/>
  <c r="AA227" i="5"/>
  <c r="Z227" i="5"/>
  <c r="Y227" i="5"/>
  <c r="X227" i="5"/>
  <c r="W227" i="5"/>
  <c r="V227" i="5"/>
  <c r="U227" i="5"/>
  <c r="T227" i="5"/>
  <c r="S227" i="5"/>
  <c r="R227" i="5"/>
  <c r="Q227" i="5"/>
  <c r="P227" i="5"/>
  <c r="O227" i="5"/>
  <c r="N227" i="5"/>
  <c r="M227" i="5"/>
  <c r="L227" i="5"/>
  <c r="K227" i="5"/>
  <c r="J227" i="5"/>
  <c r="I227" i="5"/>
  <c r="H227" i="5"/>
  <c r="G227" i="5"/>
  <c r="F227" i="5"/>
  <c r="E227" i="5"/>
  <c r="D227" i="5"/>
  <c r="C227" i="5"/>
  <c r="B227" i="5"/>
  <c r="AF226" i="5"/>
  <c r="AF225" i="5"/>
  <c r="AF224" i="5"/>
  <c r="AF223" i="5"/>
  <c r="AF222" i="5"/>
  <c r="AF221" i="5"/>
  <c r="AF220" i="5"/>
  <c r="AF219" i="5"/>
  <c r="AF218" i="5"/>
  <c r="AF217" i="5"/>
  <c r="AF216" i="5"/>
  <c r="AF215" i="5"/>
  <c r="AF214" i="5"/>
  <c r="AF213" i="5"/>
  <c r="AF212" i="5"/>
  <c r="AF211" i="5"/>
  <c r="AF210" i="5"/>
  <c r="AF209" i="5"/>
  <c r="AF208" i="5"/>
  <c r="AF207" i="5"/>
  <c r="AF206" i="5"/>
  <c r="AE200" i="5"/>
  <c r="AD200" i="5"/>
  <c r="AC200" i="5"/>
  <c r="AB200" i="5"/>
  <c r="AA200" i="5"/>
  <c r="Z200" i="5"/>
  <c r="Y200" i="5"/>
  <c r="X200" i="5"/>
  <c r="W200" i="5"/>
  <c r="V200" i="5"/>
  <c r="U200" i="5"/>
  <c r="T200" i="5"/>
  <c r="S200" i="5"/>
  <c r="R200" i="5"/>
  <c r="Q200" i="5"/>
  <c r="P200" i="5"/>
  <c r="O200" i="5"/>
  <c r="N200" i="5"/>
  <c r="M200" i="5"/>
  <c r="L200" i="5"/>
  <c r="K200" i="5"/>
  <c r="J200" i="5"/>
  <c r="I200" i="5"/>
  <c r="H200" i="5"/>
  <c r="G200" i="5"/>
  <c r="F200" i="5"/>
  <c r="E200" i="5"/>
  <c r="D200" i="5"/>
  <c r="C200" i="5"/>
  <c r="B200" i="5"/>
  <c r="AF199" i="5"/>
  <c r="AF198" i="5"/>
  <c r="AF197" i="5"/>
  <c r="AF196" i="5"/>
  <c r="AF195" i="5"/>
  <c r="AF194" i="5"/>
  <c r="AF193" i="5"/>
  <c r="AF192" i="5"/>
  <c r="AF191" i="5"/>
  <c r="AF190" i="5"/>
  <c r="AF189" i="5"/>
  <c r="AF188" i="5"/>
  <c r="AF187" i="5"/>
  <c r="AF186" i="5"/>
  <c r="AF185" i="5"/>
  <c r="AF184" i="5"/>
  <c r="AF183" i="5"/>
  <c r="AF182" i="5"/>
  <c r="AF181" i="5"/>
  <c r="AF180" i="5"/>
  <c r="AF179" i="5"/>
  <c r="AE174" i="5"/>
  <c r="AD174" i="5"/>
  <c r="AC174" i="5"/>
  <c r="AB174" i="5"/>
  <c r="AA174" i="5"/>
  <c r="Z174" i="5"/>
  <c r="Y174" i="5"/>
  <c r="X174" i="5"/>
  <c r="W174" i="5"/>
  <c r="V174" i="5"/>
  <c r="U174" i="5"/>
  <c r="T174" i="5"/>
  <c r="S174" i="5"/>
  <c r="R174" i="5"/>
  <c r="Q174" i="5"/>
  <c r="P174" i="5"/>
  <c r="O174" i="5"/>
  <c r="N174" i="5"/>
  <c r="M174" i="5"/>
  <c r="L174" i="5"/>
  <c r="K174" i="5"/>
  <c r="J174" i="5"/>
  <c r="I174" i="5"/>
  <c r="H174" i="5"/>
  <c r="G174" i="5"/>
  <c r="F174" i="5"/>
  <c r="E174" i="5"/>
  <c r="D174" i="5"/>
  <c r="C174" i="5"/>
  <c r="B174" i="5"/>
  <c r="AF173" i="5"/>
  <c r="AF172" i="5"/>
  <c r="AF171" i="5"/>
  <c r="AF170" i="5"/>
  <c r="AF169" i="5"/>
  <c r="AF168" i="5"/>
  <c r="AF167" i="5"/>
  <c r="AF166" i="5"/>
  <c r="AF165" i="5"/>
  <c r="AF164" i="5"/>
  <c r="AF163" i="5"/>
  <c r="AF162" i="5"/>
  <c r="AF161" i="5"/>
  <c r="AF160" i="5"/>
  <c r="AF159" i="5"/>
  <c r="AF158" i="5"/>
  <c r="AF157" i="5"/>
  <c r="AF156" i="5"/>
  <c r="AF155" i="5"/>
  <c r="AE150" i="5"/>
  <c r="AD150" i="5"/>
  <c r="AC150" i="5"/>
  <c r="AB150" i="5"/>
  <c r="AA150" i="5"/>
  <c r="Z150" i="5"/>
  <c r="Y150" i="5"/>
  <c r="X150" i="5"/>
  <c r="W150" i="5"/>
  <c r="V150" i="5"/>
  <c r="U150" i="5"/>
  <c r="T150" i="5"/>
  <c r="S150" i="5"/>
  <c r="R150" i="5"/>
  <c r="Q150" i="5"/>
  <c r="P150" i="5"/>
  <c r="O150" i="5"/>
  <c r="N150" i="5"/>
  <c r="M150" i="5"/>
  <c r="L150" i="5"/>
  <c r="K150" i="5"/>
  <c r="J150" i="5"/>
  <c r="I150" i="5"/>
  <c r="H150" i="5"/>
  <c r="G150" i="5"/>
  <c r="F150" i="5"/>
  <c r="E150" i="5"/>
  <c r="D150" i="5"/>
  <c r="C150" i="5"/>
  <c r="B150" i="5"/>
  <c r="AF149" i="5"/>
  <c r="AF148" i="5"/>
  <c r="AF147" i="5"/>
  <c r="AF146" i="5"/>
  <c r="AF145" i="5"/>
  <c r="AF144" i="5"/>
  <c r="AF143" i="5"/>
  <c r="AF142" i="5"/>
  <c r="AF141" i="5"/>
  <c r="AF140" i="5"/>
  <c r="AF139" i="5"/>
  <c r="AE133" i="5"/>
  <c r="AD133" i="5"/>
  <c r="AC133" i="5"/>
  <c r="AB133" i="5"/>
  <c r="AA133" i="5"/>
  <c r="Z133" i="5"/>
  <c r="Y133" i="5"/>
  <c r="X133" i="5"/>
  <c r="W133" i="5"/>
  <c r="V133" i="5"/>
  <c r="U133" i="5"/>
  <c r="T133" i="5"/>
  <c r="S133" i="5"/>
  <c r="R133" i="5"/>
  <c r="Q133" i="5"/>
  <c r="P133" i="5"/>
  <c r="O133" i="5"/>
  <c r="N133" i="5"/>
  <c r="M133" i="5"/>
  <c r="L133" i="5"/>
  <c r="K133" i="5"/>
  <c r="J133" i="5"/>
  <c r="I133" i="5"/>
  <c r="H133" i="5"/>
  <c r="G133" i="5"/>
  <c r="F133" i="5"/>
  <c r="E133" i="5"/>
  <c r="D133" i="5"/>
  <c r="C133" i="5"/>
  <c r="B133" i="5"/>
  <c r="AF132" i="5"/>
  <c r="AF131" i="5"/>
  <c r="AF130" i="5"/>
  <c r="AF129" i="5"/>
  <c r="AF128" i="5"/>
  <c r="AF127" i="5"/>
  <c r="AF126" i="5"/>
  <c r="AF125" i="5"/>
  <c r="AF124" i="5"/>
  <c r="AF123" i="5"/>
  <c r="AF122" i="5"/>
  <c r="AF121" i="5"/>
  <c r="AF120" i="5"/>
  <c r="AE115" i="5"/>
  <c r="AD115" i="5"/>
  <c r="AC115" i="5"/>
  <c r="AB115" i="5"/>
  <c r="AA115" i="5"/>
  <c r="Z115" i="5"/>
  <c r="Y115" i="5"/>
  <c r="X115" i="5"/>
  <c r="W115" i="5"/>
  <c r="V115" i="5"/>
  <c r="U115" i="5"/>
  <c r="T115" i="5"/>
  <c r="S115" i="5"/>
  <c r="R115" i="5"/>
  <c r="Q115" i="5"/>
  <c r="P115" i="5"/>
  <c r="O115" i="5"/>
  <c r="N115" i="5"/>
  <c r="M115" i="5"/>
  <c r="L115" i="5"/>
  <c r="K115" i="5"/>
  <c r="J115" i="5"/>
  <c r="I115" i="5"/>
  <c r="H115" i="5"/>
  <c r="G115" i="5"/>
  <c r="F115" i="5"/>
  <c r="E115" i="5"/>
  <c r="D115" i="5"/>
  <c r="C115" i="5"/>
  <c r="B115" i="5"/>
  <c r="AF114" i="5"/>
  <c r="AF113" i="5"/>
  <c r="AF112" i="5"/>
  <c r="AF111" i="5"/>
  <c r="AF110" i="5"/>
  <c r="AF109" i="5"/>
  <c r="AF108" i="5"/>
  <c r="AF107" i="5"/>
  <c r="AF106" i="5"/>
  <c r="AF105" i="5"/>
  <c r="AF104" i="5"/>
  <c r="J79" i="3"/>
  <c r="I79" i="3"/>
  <c r="H79" i="3"/>
  <c r="G79" i="3"/>
  <c r="F79" i="3"/>
  <c r="E79" i="3"/>
  <c r="D79" i="3"/>
  <c r="C79" i="3"/>
  <c r="B79" i="3"/>
  <c r="J40" i="3"/>
  <c r="I40" i="3"/>
  <c r="H40" i="3"/>
  <c r="G40" i="3"/>
  <c r="F40" i="3"/>
  <c r="E40" i="3"/>
  <c r="D40" i="3"/>
  <c r="C40" i="3"/>
  <c r="B40" i="3"/>
  <c r="K281" i="1" l="1"/>
  <c r="F65" i="1"/>
  <c r="K238" i="1"/>
  <c r="K152" i="1"/>
  <c r="B65" i="1"/>
  <c r="I65" i="1"/>
  <c r="C65" i="1"/>
  <c r="J65" i="1"/>
  <c r="E65" i="1"/>
  <c r="G65" i="1"/>
  <c r="K109" i="1"/>
  <c r="D65" i="1"/>
  <c r="H313" i="5"/>
  <c r="F92" i="5"/>
  <c r="AF115" i="5"/>
  <c r="AF174" i="5"/>
  <c r="AF200" i="5"/>
  <c r="H347" i="5"/>
  <c r="H397" i="5"/>
  <c r="H423" i="5"/>
  <c r="H451" i="5"/>
  <c r="K51" i="8"/>
  <c r="K375" i="1"/>
  <c r="K387" i="1"/>
  <c r="K384" i="1"/>
  <c r="K399" i="1"/>
  <c r="K39" i="1"/>
  <c r="K63" i="1"/>
  <c r="K64" i="1"/>
  <c r="K52" i="1"/>
  <c r="K33" i="1"/>
  <c r="K45" i="1"/>
  <c r="K401" i="1"/>
  <c r="K62" i="1"/>
  <c r="K55" i="1"/>
  <c r="K58" i="1"/>
  <c r="K43" i="1"/>
  <c r="K32" i="1"/>
  <c r="K37" i="1"/>
  <c r="K41" i="1"/>
  <c r="K49" i="1"/>
  <c r="K53" i="1"/>
  <c r="K57" i="1"/>
  <c r="K31" i="1"/>
  <c r="K34" i="1"/>
  <c r="K35" i="1"/>
  <c r="K47" i="1"/>
  <c r="K56" i="1"/>
  <c r="K59" i="1"/>
  <c r="K42" i="1"/>
  <c r="K50" i="1"/>
  <c r="K391" i="1"/>
  <c r="K403" i="1"/>
  <c r="AF133" i="5"/>
  <c r="AF227" i="5"/>
  <c r="K383" i="1"/>
  <c r="K407" i="1"/>
  <c r="K38" i="1"/>
  <c r="K46" i="1"/>
  <c r="H331" i="5"/>
  <c r="H640" i="5"/>
  <c r="K376" i="1"/>
  <c r="K385" i="1"/>
  <c r="K389" i="1"/>
  <c r="K405" i="1"/>
  <c r="AF150" i="5"/>
  <c r="AF256" i="5"/>
  <c r="H371" i="5"/>
  <c r="H512" i="5"/>
  <c r="H681" i="5"/>
  <c r="H725" i="5"/>
  <c r="K392" i="1"/>
  <c r="K396" i="1"/>
  <c r="K400" i="1"/>
  <c r="K51" i="1"/>
  <c r="K380" i="1"/>
  <c r="K408" i="1"/>
  <c r="K61" i="1"/>
  <c r="K36" i="1"/>
  <c r="K40" i="1"/>
  <c r="K44" i="1"/>
  <c r="K48" i="1"/>
  <c r="K54" i="1"/>
  <c r="K60" i="1"/>
  <c r="K30" i="1"/>
  <c r="K388" i="1"/>
  <c r="K404" i="1"/>
  <c r="K377" i="1"/>
  <c r="K379" i="1"/>
  <c r="K381" i="1"/>
  <c r="K393" i="1"/>
  <c r="K395" i="1"/>
  <c r="K397" i="1"/>
  <c r="K402" i="1"/>
  <c r="K406" i="1"/>
  <c r="K374" i="1"/>
  <c r="K378" i="1"/>
  <c r="K382" i="1"/>
  <c r="K386" i="1"/>
  <c r="K390" i="1"/>
  <c r="K394" i="1"/>
  <c r="K398" i="1"/>
  <c r="I767" i="5" l="1"/>
  <c r="K65" i="1"/>
  <c r="K409" i="1"/>
  <c r="L65" i="1"/>
  <c r="AE9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George</author>
  </authors>
  <commentList>
    <comment ref="A26" authorId="0" shapeId="0" xr:uid="{00000000-0006-0000-0000-000001000000}">
      <text>
        <r>
          <rPr>
            <sz val="9"/>
            <color indexed="81"/>
            <rFont val="Tahoma"/>
            <family val="2"/>
          </rPr>
          <t xml:space="preserve">
The Homer Spit is located in the central part of Kachemak Bay.
Kachemak Bay is a 64-km-long (40 mi) arm of Cook Inlet in the U.S. state of Alaska, located on the southwest side of the Kenai Peninsula. The communities of Homer, Halibut Cove, Seldovia, Nanwalek, Port Graham, and Kachemak City are on the bay as well as three Old Believer settlements in the Fox River area.
Features
Kachemak Bay is home to Alaska's only state wilderness park, Kachemak Bay State Park. Kachemak Bay State park was the first state park in Alaska. There is no road access to most of the park; visitors must arrive by airplane or boat.
Kachemak Bay is also home to the Kachemak Bay Research Reserve, the largest reserve in the National Estuarine Research Reserve System. It is a very active site of research and education. The bay hosts a remarkably high level of biological activity, due in part to water circulation patterns which keep shellfish larva and nutrients in the bay. While surface waters push nutrients out into the bay, ocean currents push them back into the bay, creating a very fertile environment. Both fish and shellfish are abundant in the bay, year-round. Waterbirds and marine mammals including otters, seals, porpoise, and whales remain in the bay all year. The bay provides winter homes for 90% of the seabird and waterfowl populations of Lower Cook Inlet. Land mammals are frequently seen during the warmer seasons. Moose, coyote, and bears are frequently seen.
The tides at Kachemak Bay are extreme, with an average vertical difference of fifteen feet (4.6m), and recorded extremes of twenty-eight feet (5.8m)
Source:  Wikipedia
</t>
        </r>
      </text>
    </comment>
    <comment ref="B29" authorId="0" shapeId="0" xr:uid="{00000000-0006-0000-0000-000002000000}">
      <text>
        <r>
          <rPr>
            <sz val="9"/>
            <color indexed="81"/>
            <rFont val="Tahoma"/>
            <family val="2"/>
          </rPr>
          <t xml:space="preserve">Survey Details:
Time Started: 9:00 am
Duration: 2.0 hours
Tide at start:  14.7'
High Tide: 14.7 at 9:08 am
Weather at Homer Airport
At 8:53 the weather was mostly cloudy, winds were calm, the temperature was 42°, and the barometric pressure was 29.63 inches.  At 10:53 the weather was fair, slight winds from the S at 5 mph, the temperature was 43°, and the barometric pressure steady 29.62 inches.  Our weather data is from the Homer Airport NOAA station at the base of Homer Spit. </t>
        </r>
      </text>
    </comment>
    <comment ref="C29" authorId="0" shapeId="0" xr:uid="{00000000-0006-0000-0000-000003000000}">
      <text>
        <r>
          <rPr>
            <sz val="9"/>
            <color indexed="81"/>
            <rFont val="Tahoma"/>
            <family val="2"/>
          </rPr>
          <t xml:space="preserve">Survey Details:
Time Started: 4:45 pm
Duration: 2.0 hours
Tide at start:  15.1'
High Tide: 20.1 at 2:47 pm
Weather at Homer Airport
At 4:53 the weather was crappy – blowing and snowing hard.   Even the ducks didn’t want to fly.    When I first looked through my scope, all I saw were giant snowflakes whizzing by at the speed of light.  The NOAA weather station at the Homer Airport reported that winds were from the SW at 13 mph with gusts at 20 mph.  Conditions on the Spit are less protected than the airport and always windier.  The report also said there was light snow, the temperature was 34°, and the barometric pressure was 29.48.  At 6:53 the winds had increased to 17 mph with gusts to 28, the snow had stopped, the temperature was 36°, and the barometric pressure was still 29.48.
</t>
        </r>
      </text>
    </comment>
    <comment ref="D29" authorId="0" shapeId="0" xr:uid="{00000000-0006-0000-0000-000004000000}">
      <text>
        <r>
          <rPr>
            <sz val="9"/>
            <color indexed="81"/>
            <rFont val="Tahoma"/>
            <family val="2"/>
          </rPr>
          <t xml:space="preserve">Survey Details:
Time Started: 7:30 pm
Duration: 2.0 hours
Tide at start:  15.7'
High Tide: 16.6 at 6:31 pm
Weather at Homer Airport
The wintery weather we experienced last session continued through the week.  But for this session, the snow and wind had abated.  Nevertheless, temperatures were below normal, which hasn’t occurred much this spring.  According to the NOAA station at the Homer Airport, at 6:53 pm winds were from the SW at 14mph, skies were fair, and the temperature was 34°F, and the barometric pressure was 29.92 inches.  At 9:53 pm winds were SW at 9 mph, skies were still fair, the temperature was 33°F, and the barometric pressure held steady. </t>
        </r>
      </text>
    </comment>
    <comment ref="E29" authorId="0" shapeId="0" xr:uid="{00000000-0006-0000-0000-000005000000}">
      <text>
        <r>
          <rPr>
            <sz val="9"/>
            <color indexed="81"/>
            <rFont val="Tahoma"/>
            <family val="2"/>
          </rPr>
          <t>Survey Details:
Time Started: 10:30 am
Duration: 2.0 hours
Tide at start:  12.4'
High Tide: 12.4' at 10:40 am
Weather at Homer Airport
Spring has returned.  According to the NOAA station at the Homer Airport, at 9:53 am winds were from the NE at 5 mph, skies were overcast, the temperature was 46°F, and the barometric pressure was 30.44 inches.  At 12:53 pm, winds were from the E at 9 mph, skies were still overcast, the temperature was 48°, at the barometric pressure was a bit lower at 30.43 inches.</t>
        </r>
      </text>
    </comment>
    <comment ref="F29" authorId="0" shapeId="0" xr:uid="{00000000-0006-0000-0000-000006000000}">
      <text>
        <r>
          <rPr>
            <sz val="9"/>
            <color indexed="81"/>
            <rFont val="Tahoma"/>
            <family val="2"/>
          </rPr>
          <t xml:space="preserve">Survey Details:
Time Started: 4:15 pm
Duration: 2.0 hours
Tide at start:  15.1'
High Tide: 17.4' at 2:47 pm
Weather at Homer Airport
According to the NOAA station at the Homer Airport, at 3:53 pm winds were from the SW at 13 mph, skies were fair, the temperature was 47°F, and the barometric pressure was 30.10 inches.  At 6:53 pm, winds were still from the SW at 12 mph with gusts to 18, skies were fair, the temperature was 45°F, and the barometric pressure dropped to 30.07 inches.
</t>
        </r>
      </text>
    </comment>
    <comment ref="G29" authorId="0" shapeId="0" xr:uid="{00000000-0006-0000-0000-000007000000}">
      <text>
        <r>
          <rPr>
            <sz val="9"/>
            <color indexed="81"/>
            <rFont val="Tahoma"/>
            <family val="2"/>
          </rPr>
          <t>Survey Details:
Time Started: 7:15 pm
Duration: 2.0 hours
Tide at start:  15.5'
High Tide: 16.7' at 6:09 pm 
Weather at Homer Airport
According to the NOAA station at the Homer Airport, at 6:53 pm winds were variable at 7 mph, skies were fair, the temperature was 51°F, and the barometric pressure was 30.09 inches.  At 9:53 pm, winds were still variable at 7 mph, skies were fair, the temperature was 48°F, and the barometric pressure increased to 30.14 inches.  These conditions are a lot more benign than what we have been having this spring.</t>
        </r>
      </text>
    </comment>
    <comment ref="H29" authorId="0" shapeId="0" xr:uid="{00000000-0006-0000-0000-000008000000}">
      <text>
        <r>
          <rPr>
            <sz val="9"/>
            <color indexed="81"/>
            <rFont val="Tahoma"/>
            <family val="2"/>
          </rPr>
          <t>Survey Details:
Time Started: 10:15 am
Duration: 2.0 hours
Tide at start:  14.7'
High Tide: 14.6' at 10:28 am
Weather at Homer Airport
According to the NOAA station at the Homer Airport, at 9:53 am winds were calm, skies were overcast, the temperature was 46°F, and the barometric pressure was 29.98 inches.  At 12:53 pm, winds were from the SW at 8 mph, skies were overcast, the temperature was 48°F, and the barometric pressure dropped a bit to 29.97.  Sure enough, it rained a couple of hours afterwards.  But all in all, the weather was favorable for shorebirds wanting to move on.</t>
        </r>
      </text>
    </comment>
    <comment ref="I29" authorId="0" shapeId="0" xr:uid="{00000000-0006-0000-0000-000009000000}">
      <text>
        <r>
          <rPr>
            <sz val="9"/>
            <color indexed="81"/>
            <rFont val="Tahoma"/>
            <family val="2"/>
          </rPr>
          <t xml:space="preserve">Survey Details:
Time Started: 5:00 pm
Duration: 2.0 hours
Tide at start:  15.6'
High Tide: 18.9 at 3:21 pm 
Weather at Homer Airport
According to the NOAA station at the Homer Airport, at 4:53 pm winds were SW at 6 mph, skies were mostly cloudy, the temperature was 53°F, and the barometric pressure was 29.80 inches.  At 6:53 pm, winds were W at 8 mph, skies were partly cloudy, the temperature was 52°F, and the barometric pressure stayed at 29.80 inches.  29.97.  </t>
        </r>
      </text>
    </comment>
    <comment ref="J29" authorId="0" shapeId="0" xr:uid="{00000000-0006-0000-0000-00000A000000}">
      <text>
        <r>
          <rPr>
            <sz val="9"/>
            <color indexed="81"/>
            <rFont val="Tahoma"/>
            <family val="2"/>
          </rPr>
          <t xml:space="preserve">Survey Details:
Time Started: 7:30 pm 
Duration: 2.0 hours
Tide at start:  15.2'
High Tide: 15.4 at 7:01 pm 
Weather at Homer Airport
According to the NOAA station at the Homer Airport, at 6:53 pm winds were W at 10 mph, skies were overcast, the temperature was 48°F, and the barometric pressure was 30.10 inches.  At 9:53 pm, winds were W at 8 mph, a light rain was falling, the temperature was 47°F, and the barometric pressure increased to 30.15 inches.   </t>
        </r>
      </text>
    </comment>
    <comment ref="A70" authorId="0" shapeId="0" xr:uid="{00000000-0006-0000-0000-00000D000000}">
      <text>
        <r>
          <rPr>
            <sz val="9"/>
            <color indexed="81"/>
            <rFont val="Tahoma"/>
            <family val="2"/>
          </rPr>
          <t xml:space="preserve">Mud Bay begins at the base of Homer Spit on its eastern side
 and continues for nearly a mile to a beach house.  It includes intertidal mud flats that are rich with the marine invertebrates which attracts large concentrations of migrating shorebirds.   
There are two viewing platforms along the bike trail that parallels the Spit Road.  Because of tides, the second viewing platform provides  the most advantageous viewing and was mostly used for this stationary count.
</t>
        </r>
      </text>
    </comment>
    <comment ref="B73" authorId="0" shapeId="0" xr:uid="{00000000-0006-0000-0000-00000E000000}">
      <text>
        <r>
          <rPr>
            <sz val="9"/>
            <color indexed="81"/>
            <rFont val="Tahoma"/>
            <family val="2"/>
          </rPr>
          <t>Monitors were;
Betty Siegel
Jason Sodergren
Paul Allan
Louise Ashmun</t>
        </r>
      </text>
    </comment>
    <comment ref="C73" authorId="0" shapeId="0" xr:uid="{00000000-0006-0000-0000-00000F000000}">
      <text>
        <r>
          <rPr>
            <sz val="9"/>
            <color indexed="81"/>
            <rFont val="Tahoma"/>
            <family val="2"/>
          </rPr>
          <t xml:space="preserve">Monitors were;
Betty Siegel
Paul Allen
Jason Sodergren
</t>
        </r>
      </text>
    </comment>
    <comment ref="D73" authorId="0" shapeId="0" xr:uid="{00000000-0006-0000-0000-000010000000}">
      <text>
        <r>
          <rPr>
            <sz val="9"/>
            <color indexed="81"/>
            <rFont val="Tahoma"/>
            <family val="2"/>
          </rPr>
          <t>Monitors were;
Jason Sodergren
Betty Siegel
Paul Allan
Louise Ashmun
Casey Greenstein</t>
        </r>
      </text>
    </comment>
    <comment ref="E73" authorId="0" shapeId="0" xr:uid="{00000000-0006-0000-0000-000011000000}">
      <text>
        <r>
          <rPr>
            <sz val="9"/>
            <color indexed="81"/>
            <rFont val="Tahoma"/>
            <family val="2"/>
          </rPr>
          <t xml:space="preserve">Monitors were;
Betty Siegel
Jason Sodergren
Louise Ashmun
Paul Allan
</t>
        </r>
      </text>
    </comment>
    <comment ref="F73" authorId="0" shapeId="0" xr:uid="{00000000-0006-0000-0000-000012000000}">
      <text>
        <r>
          <rPr>
            <sz val="9"/>
            <color indexed="81"/>
            <rFont val="Tahoma"/>
            <family val="2"/>
          </rPr>
          <t xml:space="preserve">Monitors were;
Betty Siegel
Jason Sodergren
Paul Allan
</t>
        </r>
      </text>
    </comment>
    <comment ref="G73" authorId="0" shapeId="0" xr:uid="{00000000-0006-0000-0000-000013000000}">
      <text>
        <r>
          <rPr>
            <sz val="9"/>
            <color indexed="81"/>
            <rFont val="Tahoma"/>
            <family val="2"/>
          </rPr>
          <t xml:space="preserve">Monitors were;
Betty Siegel
Jason Sodergren
Paul Allan
Louise Ashmun
Cindy Sisson
</t>
        </r>
      </text>
    </comment>
    <comment ref="H73" authorId="0" shapeId="0" xr:uid="{00000000-0006-0000-0000-000014000000}">
      <text>
        <r>
          <rPr>
            <sz val="9"/>
            <color indexed="81"/>
            <rFont val="Tahoma"/>
            <family val="2"/>
          </rPr>
          <t xml:space="preserve">
Monitors were;
Betty Siegel
Cindy Sisson
</t>
        </r>
      </text>
    </comment>
    <comment ref="I73" authorId="0" shapeId="0" xr:uid="{00000000-0006-0000-0000-000015000000}">
      <text>
        <r>
          <rPr>
            <sz val="9"/>
            <color indexed="81"/>
            <rFont val="Tahoma"/>
            <family val="2"/>
          </rPr>
          <t xml:space="preserve">Monitors were;
Betty Siegel
Cindy Sisson
</t>
        </r>
      </text>
    </comment>
    <comment ref="J73" authorId="0" shapeId="0" xr:uid="{00000000-0006-0000-0000-000016000000}">
      <text>
        <r>
          <rPr>
            <sz val="9"/>
            <color indexed="81"/>
            <rFont val="Tahoma"/>
            <family val="2"/>
          </rPr>
          <t xml:space="preserve">Monitors were;
Betty Siegel
Cindy Sisson
Jason Sodergren
</t>
        </r>
      </text>
    </comment>
    <comment ref="A113" authorId="0" shapeId="0" xr:uid="{00000000-0006-0000-0000-000018000000}">
      <text>
        <r>
          <rPr>
            <sz val="9"/>
            <color indexed="81"/>
            <rFont val="Tahoma"/>
            <family val="2"/>
          </rPr>
          <t xml:space="preserve">
Mariner Park Lagoon begins at the base of Homer Spit on its western side and continues south for less than half a mile to the Mariner Park campsite.  Due in part to glacial rebound, the lagoon is now flooded with seawater only during tides that are higher than average. Freshwater drainage from a nearby bluff provides some of the water that accumulates on the lagoon mud flats.  Consequently, Mariner Lagoon may not have the invertebrate population that Mud Bay has and provides less foraging opportunity for migrating shorebirds.
Stationary monitoring was from the Lighthouse viewing platform which provides a good view of the entire area.</t>
        </r>
      </text>
    </comment>
    <comment ref="B116" authorId="0" shapeId="0" xr:uid="{00000000-0006-0000-0000-000019000000}">
      <text>
        <r>
          <rPr>
            <sz val="9"/>
            <color indexed="81"/>
            <rFont val="Tahoma"/>
            <family val="2"/>
          </rPr>
          <t>Monitors were;
George Matz
Jeannie Woodring
Bette Seaman</t>
        </r>
      </text>
    </comment>
    <comment ref="C116" authorId="0" shapeId="0" xr:uid="{00000000-0006-0000-0000-00001A000000}">
      <text>
        <r>
          <rPr>
            <sz val="9"/>
            <color indexed="81"/>
            <rFont val="Tahoma"/>
            <family val="2"/>
          </rPr>
          <t>Monitors were;
George Matz
Jeannie Woodring
Bette Seaman
Jinky Handy</t>
        </r>
      </text>
    </comment>
    <comment ref="D116" authorId="0" shapeId="0" xr:uid="{00000000-0006-0000-0000-00001B000000}">
      <text>
        <r>
          <rPr>
            <sz val="9"/>
            <color indexed="81"/>
            <rFont val="Tahoma"/>
            <family val="2"/>
          </rPr>
          <t xml:space="preserve">Monitors were;
George Matz
Jeannie Woodring
Bette Seaman
Jinky Handy
</t>
        </r>
      </text>
    </comment>
    <comment ref="E116" authorId="0" shapeId="0" xr:uid="{00000000-0006-0000-0000-00001C000000}">
      <text>
        <r>
          <rPr>
            <sz val="9"/>
            <color indexed="81"/>
            <rFont val="Tahoma"/>
            <family val="2"/>
          </rPr>
          <t xml:space="preserve">Monitors were;
George Matz
Jeannie Woodring
</t>
        </r>
      </text>
    </comment>
    <comment ref="F116" authorId="0" shapeId="0" xr:uid="{00000000-0006-0000-0000-00001D000000}">
      <text>
        <r>
          <rPr>
            <sz val="9"/>
            <color indexed="81"/>
            <rFont val="Tahoma"/>
            <family val="2"/>
          </rPr>
          <t xml:space="preserve">Monitors were;
George Matz
Jeannie Woodring
Jinky Handy
</t>
        </r>
      </text>
    </comment>
    <comment ref="G116" authorId="0" shapeId="0" xr:uid="{00000000-0006-0000-0000-00001E000000}">
      <text>
        <r>
          <rPr>
            <sz val="9"/>
            <color indexed="81"/>
            <rFont val="Tahoma"/>
            <family val="2"/>
          </rPr>
          <t xml:space="preserve">Monitors were;
George Matz
Jeannie Woodring
Jinky Handy
Toby Wheeler
</t>
        </r>
      </text>
    </comment>
    <comment ref="H116" authorId="0" shapeId="0" xr:uid="{00000000-0006-0000-0000-00001F000000}">
      <text>
        <r>
          <rPr>
            <sz val="9"/>
            <color indexed="81"/>
            <rFont val="Tahoma"/>
            <family val="2"/>
          </rPr>
          <t xml:space="preserve">Monitors were;
George Matz
</t>
        </r>
      </text>
    </comment>
    <comment ref="I116" authorId="0" shapeId="0" xr:uid="{00000000-0006-0000-0000-000020000000}">
      <text>
        <r>
          <rPr>
            <sz val="9"/>
            <color indexed="81"/>
            <rFont val="Tahoma"/>
            <family val="2"/>
          </rPr>
          <t xml:space="preserve">Monitors were;
George Matz
Jeannie Woodring
Bette Seaman
Toby Wheeler
</t>
        </r>
      </text>
    </comment>
    <comment ref="J116" authorId="0" shapeId="0" xr:uid="{00000000-0006-0000-0000-000021000000}">
      <text>
        <r>
          <rPr>
            <sz val="9"/>
            <color indexed="81"/>
            <rFont val="Tahoma"/>
            <family val="2"/>
          </rPr>
          <t xml:space="preserve">Monitors were;
George Matz
Jeannie Woodring
Bette Seaman
</t>
        </r>
      </text>
    </comment>
    <comment ref="A156" authorId="0" shapeId="0" xr:uid="{00000000-0006-0000-0000-000024000000}">
      <text>
        <r>
          <rPr>
            <sz val="9"/>
            <color indexed="81"/>
            <rFont val="Tahoma"/>
            <family val="2"/>
          </rPr>
          <t xml:space="preserve">
Mid-Spit includes the eastern side of Homer Spit from the first beach house near Mud Bay to the landing barge basin nearly two miles down the Spit Road. While some of this area is now industrially developed, it includes a stretch of about a mile of beach and uplands, from Green Timbers to Louie's Lagoon, that is not developed and provides important shorebird habitat.  Most of this is owned by the City of Homer and zoned for conservation or recreation.
</t>
        </r>
      </text>
    </comment>
    <comment ref="A157" authorId="0" shapeId="0" xr:uid="{00000000-0006-0000-0000-000025000000}">
      <text>
        <r>
          <rPr>
            <sz val="9"/>
            <color indexed="81"/>
            <rFont val="Tahoma"/>
            <family val="2"/>
          </rPr>
          <t xml:space="preserve">Two teams monitored this site, each covering about 2 miles.  The first team covers the Green Timbers area and the second team covers
 Louie's Lagoon. </t>
        </r>
      </text>
    </comment>
    <comment ref="B159" authorId="0" shapeId="0" xr:uid="{00000000-0006-0000-0000-000026000000}">
      <text>
        <r>
          <rPr>
            <sz val="9"/>
            <color indexed="81"/>
            <rFont val="Tahoma"/>
            <family val="2"/>
          </rPr>
          <t xml:space="preserve">Monitors were;
Lani Raymond
Jack Wiles
George Haleson
Osi Kaspi
Tim Quinn
Kristine Sowl
Aaron Lang
</t>
        </r>
      </text>
    </comment>
    <comment ref="C159" authorId="0" shapeId="0" xr:uid="{00000000-0006-0000-0000-000027000000}">
      <text>
        <r>
          <rPr>
            <sz val="9"/>
            <color indexed="81"/>
            <rFont val="Tahoma"/>
            <family val="2"/>
          </rPr>
          <t>Monitors were;
Lani Raymond
Jack Wiles
Megan Oneil
Tim Quinn
Aaron Lang
Carla Stanley
Hal Smith</t>
        </r>
      </text>
    </comment>
    <comment ref="D159" authorId="0" shapeId="0" xr:uid="{00000000-0006-0000-0000-000028000000}">
      <text>
        <r>
          <rPr>
            <sz val="9"/>
            <color indexed="81"/>
            <rFont val="Tahoma"/>
            <family val="2"/>
          </rPr>
          <t xml:space="preserve">Monitors were;
Megan O'Neil
Lani Raymond
Jack Wiles
Osi Kaspi
Gary Lyon
Carla Stanley
Paul Radar
Ally Radar
Louise Dupree
</t>
        </r>
      </text>
    </comment>
    <comment ref="E159" authorId="0" shapeId="0" xr:uid="{00000000-0006-0000-0000-000029000000}">
      <text>
        <r>
          <rPr>
            <sz val="9"/>
            <color indexed="81"/>
            <rFont val="Tahoma"/>
            <family val="2"/>
          </rPr>
          <t xml:space="preserve">Monitors were;
Gary Lyon
Kristine Sowl
Hal Smith
Paul Radar
Ally Radar
Louie Dupree
Lani Raymond
Jack Wiles
Megan O'Neal
Tim Quinn
George Harleson
Tim Quinn
</t>
        </r>
      </text>
    </comment>
    <comment ref="F159" authorId="0" shapeId="0" xr:uid="{00000000-0006-0000-0000-00002A000000}">
      <text>
        <r>
          <rPr>
            <sz val="9"/>
            <color indexed="81"/>
            <rFont val="Tahoma"/>
            <family val="2"/>
          </rPr>
          <t xml:space="preserve">Monitors were;
Lani Raymond
Jack Wiles
Osi Kaspi
Tim Quinn
George Harbeso
Gary Lyon
Hal Smith
Kristine Sowl
Aaron Lang
</t>
        </r>
      </text>
    </comment>
    <comment ref="G159" authorId="0" shapeId="0" xr:uid="{00000000-0006-0000-0000-00002B000000}">
      <text>
        <r>
          <rPr>
            <sz val="9"/>
            <color indexed="81"/>
            <rFont val="Tahoma"/>
            <family val="2"/>
          </rPr>
          <t xml:space="preserve">Monitors were;
Lani Raymond
Jack Wiles 
Osi Kaspi
Tim Quinn
Kevin Quinn
George Harbeson
Megan O'Neal
Gary Lyon
Hal Smith
Carol Harding
Robin Edwards
Kristine Sowl
Paul Radar 
Ally Radar
</t>
        </r>
      </text>
    </comment>
    <comment ref="H159" authorId="0" shapeId="0" xr:uid="{00000000-0006-0000-0000-00002C000000}">
      <text>
        <r>
          <rPr>
            <sz val="9"/>
            <color indexed="81"/>
            <rFont val="Tahoma"/>
            <family val="2"/>
          </rPr>
          <t>Monitors were;
Carol Harding
Gary Lyon
Kristine Sowl
Hal Smith
Lani Raymond
Jack Wiles
Tim Quinn
Megan O'Neal</t>
        </r>
      </text>
    </comment>
    <comment ref="I159" authorId="0" shapeId="0" xr:uid="{00000000-0006-0000-0000-00002D000000}">
      <text>
        <r>
          <rPr>
            <sz val="9"/>
            <color indexed="81"/>
            <rFont val="Tahoma"/>
            <family val="2"/>
          </rPr>
          <t xml:space="preserve">Monitors were;
Carol Harding
Robin Edwards
Gary Lyon
Krisitne Sowl
Hal Smith
Louie Dupree
Chuck Day
Lani Raymond
Jack Wiles
Megan O'Neal
George Harbeson
</t>
        </r>
      </text>
    </comment>
    <comment ref="J159" authorId="0" shapeId="0" xr:uid="{00000000-0006-0000-0000-00002E000000}">
      <text>
        <r>
          <rPr>
            <sz val="9"/>
            <color indexed="81"/>
            <rFont val="Tahoma"/>
            <family val="2"/>
          </rPr>
          <t>Monitors were;
Lani Raymond
Osi Kaspi
Megan ONeil
George Harbeson
Tim Quinn
Gary Lyon
Krisitne Sowl
Carol Harding
Louie Dupree</t>
        </r>
      </text>
    </comment>
    <comment ref="A199" authorId="0" shapeId="0" xr:uid="{00000000-0006-0000-0000-000031000000}">
      <text>
        <r>
          <rPr>
            <sz val="9"/>
            <color indexed="81"/>
            <rFont val="Tahoma"/>
            <family val="2"/>
          </rPr>
          <t xml:space="preserve">
Outer Spit area goes from the barge basin to Lands End, a stretch of about 1.5 miles along the Spit road. This area includes the Fishing Hole and the Homer Boat Harbor.  Although most of this area is now developed, the rocks used as rip-rap to protect the harbor attract some shorebirds, such as Black Turnstones and Surfbirds.</t>
        </r>
      </text>
    </comment>
    <comment ref="A200" authorId="0" shapeId="0" xr:uid="{00000000-0006-0000-0000-000032000000}">
      <text>
        <r>
          <rPr>
            <sz val="9"/>
            <color indexed="81"/>
            <rFont val="Tahoma"/>
            <family val="2"/>
          </rPr>
          <t xml:space="preserve">The route followed is approximately 3 miles long.
</t>
        </r>
      </text>
    </comment>
    <comment ref="B202" authorId="0" shapeId="0" xr:uid="{00000000-0006-0000-0000-000033000000}">
      <text>
        <r>
          <rPr>
            <sz val="9"/>
            <color indexed="81"/>
            <rFont val="Tahoma"/>
            <family val="2"/>
          </rPr>
          <t xml:space="preserve">Monitors were;
Dave Erikson
Joanne Thordarson
Karin Holbrook
</t>
        </r>
      </text>
    </comment>
    <comment ref="C202" authorId="0" shapeId="0" xr:uid="{00000000-0006-0000-0000-000034000000}">
      <text>
        <r>
          <rPr>
            <sz val="9"/>
            <color indexed="81"/>
            <rFont val="Tahoma"/>
            <family val="2"/>
          </rPr>
          <t xml:space="preserve">Monitors were;
Dave Erikson
Joanne Thordarson
</t>
        </r>
      </text>
    </comment>
    <comment ref="D202" authorId="0" shapeId="0" xr:uid="{00000000-0006-0000-0000-000035000000}">
      <text>
        <r>
          <rPr>
            <sz val="9"/>
            <color indexed="81"/>
            <rFont val="Tahoma"/>
            <family val="2"/>
          </rPr>
          <t xml:space="preserve">Monitors were
Dave Erikson
Joanne Thordarson
</t>
        </r>
      </text>
    </comment>
    <comment ref="E202" authorId="0" shapeId="0" xr:uid="{00000000-0006-0000-0000-000036000000}">
      <text>
        <r>
          <rPr>
            <sz val="9"/>
            <color indexed="81"/>
            <rFont val="Tahoma"/>
            <family val="2"/>
          </rPr>
          <t xml:space="preserve">Monitors were;
Dave Erikson
Carla Stanley
Wayne Stanley
Joanna Thordarson
Karin Holbrook
Kim Holmes
</t>
        </r>
      </text>
    </comment>
    <comment ref="F202" authorId="0" shapeId="0" xr:uid="{00000000-0006-0000-0000-000037000000}">
      <text>
        <r>
          <rPr>
            <sz val="9"/>
            <color indexed="81"/>
            <rFont val="Tahoma"/>
            <family val="2"/>
          </rPr>
          <t>Monitors were;
Dave Erikson
Joanne Thordarson
Carla Stanley
Wayne Stanley</t>
        </r>
      </text>
    </comment>
    <comment ref="G202" authorId="0" shapeId="0" xr:uid="{00000000-0006-0000-0000-000038000000}">
      <text>
        <r>
          <rPr>
            <sz val="9"/>
            <color indexed="81"/>
            <rFont val="Tahoma"/>
            <family val="2"/>
          </rPr>
          <t xml:space="preserve">Monitors were;
Dave Erikson
Joanna Thordarson
Randy Weiser
</t>
        </r>
      </text>
    </comment>
    <comment ref="H202" authorId="0" shapeId="0" xr:uid="{00000000-0006-0000-0000-000039000000}">
      <text>
        <r>
          <rPr>
            <sz val="9"/>
            <color indexed="81"/>
            <rFont val="Tahoma"/>
            <family val="2"/>
          </rPr>
          <t>Monitors were;
Dave Erikson
Joanne Thordarson
Karin Holbrook</t>
        </r>
      </text>
    </comment>
    <comment ref="I202" authorId="0" shapeId="0" xr:uid="{00000000-0006-0000-0000-00003A000000}">
      <text>
        <r>
          <rPr>
            <sz val="9"/>
            <color indexed="81"/>
            <rFont val="Tahoma"/>
            <family val="2"/>
          </rPr>
          <t xml:space="preserve">Monitors were;
Dave Erikson
Joanne Thordarson
</t>
        </r>
      </text>
    </comment>
    <comment ref="J202" authorId="0" shapeId="0" xr:uid="{00000000-0006-0000-0000-00003B000000}">
      <text>
        <r>
          <rPr>
            <sz val="9"/>
            <color indexed="81"/>
            <rFont val="Tahoma"/>
            <family val="2"/>
          </rPr>
          <t xml:space="preserve">Monitors were;
Dave Erikson
Joanne Thordarson
</t>
        </r>
      </text>
    </comment>
    <comment ref="A242" authorId="0" shapeId="0" xr:uid="{00000000-0006-0000-0000-00003C000000}">
      <text>
        <r>
          <rPr>
            <sz val="9"/>
            <color indexed="81"/>
            <rFont val="Tahoma"/>
            <family val="2"/>
          </rPr>
          <t xml:space="preserve">
Beluga Slough includes the intertidal area  from the outlet of Beluga Lake on Ocean Drive to the Kachemak Bay shoreline.  The intertidal area attracts waterfowl and some shorebirds.
</t>
        </r>
      </text>
    </comment>
    <comment ref="A243" authorId="0" shapeId="0" xr:uid="{00000000-0006-0000-0000-00003D000000}">
      <text>
        <r>
          <rPr>
            <sz val="9"/>
            <color indexed="81"/>
            <rFont val="Tahoma"/>
            <family val="2"/>
          </rPr>
          <t xml:space="preserve">The route followed is approximately 1 mile long.
</t>
        </r>
      </text>
    </comment>
    <comment ref="B245" authorId="0" shapeId="0" xr:uid="{00000000-0006-0000-0000-00003E000000}">
      <text>
        <r>
          <rPr>
            <sz val="9"/>
            <color indexed="81"/>
            <rFont val="Tahoma"/>
            <family val="2"/>
          </rPr>
          <t xml:space="preserve">Monitors were;
Dale Chorman
Nancy Lord
Laurie Daniel
</t>
        </r>
      </text>
    </comment>
    <comment ref="C245" authorId="0" shapeId="0" xr:uid="{00000000-0006-0000-0000-00003F000000}">
      <text>
        <r>
          <rPr>
            <sz val="9"/>
            <color indexed="81"/>
            <rFont val="Tahoma"/>
            <family val="2"/>
          </rPr>
          <t xml:space="preserve">Monitors were;
Dale Chorman
Nancy Lord
Laurie Daniel
</t>
        </r>
      </text>
    </comment>
    <comment ref="D245" authorId="0" shapeId="0" xr:uid="{00000000-0006-0000-0000-000040000000}">
      <text>
        <r>
          <rPr>
            <sz val="9"/>
            <color indexed="81"/>
            <rFont val="Tahoma"/>
            <family val="2"/>
          </rPr>
          <t xml:space="preserve">Monitors were;
Dale Chorman
Nancy Lord
Neil Wagner
Lester Lubetkin
Alice Cantelow
</t>
        </r>
      </text>
    </comment>
    <comment ref="E245" authorId="0" shapeId="0" xr:uid="{00000000-0006-0000-0000-000041000000}">
      <text>
        <r>
          <rPr>
            <sz val="9"/>
            <color indexed="81"/>
            <rFont val="Tahoma"/>
            <family val="2"/>
          </rPr>
          <t xml:space="preserve">Monitors were;
Dale Chorman
Nancy Lord
Laureo Daniel
</t>
        </r>
      </text>
    </comment>
    <comment ref="F245" authorId="0" shapeId="0" xr:uid="{00000000-0006-0000-0000-000042000000}">
      <text>
        <r>
          <rPr>
            <sz val="9"/>
            <color indexed="81"/>
            <rFont val="Tahoma"/>
            <family val="2"/>
          </rPr>
          <t xml:space="preserve">Monitors were;
Nancy Lord
Dale Chorman
Laurie Daniel
</t>
        </r>
      </text>
    </comment>
    <comment ref="G245" authorId="0" shapeId="0" xr:uid="{00000000-0006-0000-0000-000043000000}">
      <text>
        <r>
          <rPr>
            <sz val="9"/>
            <color indexed="81"/>
            <rFont val="Tahoma"/>
            <family val="2"/>
          </rPr>
          <t>Monitors were;
Nancy Lord
Neil Wagner
Dale Chorman
Laurie Daniel
Audrey Taylor</t>
        </r>
      </text>
    </comment>
    <comment ref="H245" authorId="0" shapeId="0" xr:uid="{00000000-0006-0000-0000-000044000000}">
      <text>
        <r>
          <rPr>
            <sz val="9"/>
            <color indexed="81"/>
            <rFont val="Tahoma"/>
            <family val="2"/>
          </rPr>
          <t xml:space="preserve">Monitors were;
Neil Wagner
Nancy Lord
Laurie Daniel
</t>
        </r>
      </text>
    </comment>
    <comment ref="I245" authorId="0" shapeId="0" xr:uid="{00000000-0006-0000-0000-000045000000}">
      <text>
        <r>
          <rPr>
            <sz val="9"/>
            <color indexed="81"/>
            <rFont val="Tahoma"/>
            <family val="2"/>
          </rPr>
          <t xml:space="preserve">Monitors were;
Dale Chorman
Laurie Daniel
Diane Spence-Chorman
</t>
        </r>
      </text>
    </comment>
    <comment ref="J245" authorId="0" shapeId="0" xr:uid="{00000000-0006-0000-0000-000046000000}">
      <text>
        <r>
          <rPr>
            <sz val="9"/>
            <color indexed="81"/>
            <rFont val="Tahoma"/>
            <family val="2"/>
          </rPr>
          <t>Monitors were;
Neil Wagner
Nancy Lord
Dale Chorman
Laurie Daniel</t>
        </r>
      </text>
    </comment>
    <comment ref="A285" authorId="0" shapeId="0" xr:uid="{00000000-0006-0000-0000-000048000000}">
      <text>
        <r>
          <rPr>
            <sz val="9"/>
            <color indexed="81"/>
            <rFont val="Tahoma"/>
            <family val="2"/>
          </rPr>
          <t xml:space="preserve">
The islands and islets past Homer Spit were covered by Karl Stoltzfus who operates a charter boat and water taxi and routinely visits the south side of Kachemak Bay.  The primary places that were monitored include Sixty-foot Rock, Cohen Island, Lancashire Rocks and Gull Island (which has a seabird rookery); a distance of approximately 14 miles.  Except when weather was a factor, he was able to visit these sites the same day we conducted surveys on Homer Spit.
</t>
        </r>
      </text>
    </comment>
    <comment ref="A286" authorId="0" shapeId="0" xr:uid="{00000000-0006-0000-0000-000049000000}">
      <text>
        <r>
          <rPr>
            <sz val="9"/>
            <color indexed="81"/>
            <rFont val="Tahoma"/>
            <family val="2"/>
          </rPr>
          <t xml:space="preserve">The route followed by boat is approximately 14 miles.
</t>
        </r>
      </text>
    </comment>
    <comment ref="D288" authorId="0" shapeId="0" xr:uid="{00000000-0006-0000-0000-00004C000000}">
      <text>
        <r>
          <rPr>
            <sz val="9"/>
            <color indexed="81"/>
            <rFont val="Tahoma"/>
            <family val="2"/>
          </rPr>
          <t xml:space="preserve">No monitoring because of small craft warnings
</t>
        </r>
      </text>
    </comment>
    <comment ref="E288" authorId="0" shapeId="0" xr:uid="{00000000-0006-0000-0000-00004D000000}">
      <text>
        <r>
          <rPr>
            <sz val="9"/>
            <color indexed="81"/>
            <rFont val="Tahoma"/>
            <family val="2"/>
          </rPr>
          <t xml:space="preserve">Monitors were;
Karl Stoltzfus
</t>
        </r>
      </text>
    </comment>
    <comment ref="G288" authorId="0" shapeId="0" xr:uid="{00000000-0006-0000-0000-00004F000000}">
      <text>
        <r>
          <rPr>
            <sz val="9"/>
            <color indexed="81"/>
            <rFont val="Tahoma"/>
            <family val="2"/>
          </rPr>
          <t xml:space="preserve">Monitors were;
Karl Stoltzfus
</t>
        </r>
      </text>
    </comment>
    <comment ref="H288" authorId="0" shapeId="0" xr:uid="{00000000-0006-0000-0000-000050000000}">
      <text>
        <r>
          <rPr>
            <sz val="9"/>
            <color indexed="81"/>
            <rFont val="Tahoma"/>
            <family val="2"/>
          </rPr>
          <t xml:space="preserve">No monitoring due to small craft warning
</t>
        </r>
      </text>
    </comment>
    <comment ref="I288" authorId="0" shapeId="0" xr:uid="{00000000-0006-0000-0000-000051000000}">
      <text>
        <r>
          <rPr>
            <sz val="9"/>
            <color indexed="81"/>
            <rFont val="Tahoma"/>
            <family val="2"/>
          </rPr>
          <t xml:space="preserve">Monitors were;
Karl Stoltzfus
</t>
        </r>
      </text>
    </comment>
    <comment ref="J288" authorId="0" shapeId="0" xr:uid="{00000000-0006-0000-0000-000052000000}">
      <text>
        <r>
          <rPr>
            <sz val="9"/>
            <color indexed="81"/>
            <rFont val="Tahoma"/>
            <family val="2"/>
          </rPr>
          <t xml:space="preserve">Monitors were
Karl Stoltzfus
</t>
        </r>
      </text>
    </comment>
    <comment ref="A328" authorId="0" shapeId="0" xr:uid="{00000000-0006-0000-0000-000054000000}">
      <text>
        <r>
          <rPr>
            <sz val="9"/>
            <color indexed="81"/>
            <rFont val="Tahoma"/>
            <family val="2"/>
          </rPr>
          <t xml:space="preserve">Monitoring Seldovia Bay first began in 2018.  Although it is part of Kachemak Bay, the results are not added in with other Kachemak Bay sites.
</t>
        </r>
      </text>
    </comment>
    <comment ref="B331" authorId="0" shapeId="0" xr:uid="{00000000-0006-0000-0000-000055000000}">
      <text>
        <r>
          <rPr>
            <sz val="9"/>
            <color indexed="81"/>
            <rFont val="Tahoma"/>
            <family val="2"/>
          </rPr>
          <t xml:space="preserve">Monitors were;
Cindy Mom
</t>
        </r>
      </text>
    </comment>
    <comment ref="D331" authorId="0" shapeId="0" xr:uid="{00000000-0006-0000-0000-000057000000}">
      <text>
        <r>
          <rPr>
            <sz val="9"/>
            <color indexed="81"/>
            <rFont val="Tahoma"/>
            <family val="2"/>
          </rPr>
          <t xml:space="preserve">Monitor were;
Cindy Mom
</t>
        </r>
      </text>
    </comment>
    <comment ref="E331" authorId="0" shapeId="0" xr:uid="{00000000-0006-0000-0000-000058000000}">
      <text>
        <r>
          <rPr>
            <sz val="9"/>
            <color indexed="81"/>
            <rFont val="Tahoma"/>
            <family val="2"/>
          </rPr>
          <t xml:space="preserve">Monitors were; 
Cindy Mom
Tani Spurkland
</t>
        </r>
      </text>
    </comment>
    <comment ref="F331" authorId="0" shapeId="0" xr:uid="{00000000-0006-0000-0000-000059000000}">
      <text>
        <r>
          <rPr>
            <sz val="9"/>
            <color indexed="81"/>
            <rFont val="Tahoma"/>
            <family val="2"/>
          </rPr>
          <t>Monitors were;
Cindy Mom
Tania Spurkland
Erin McKittrick</t>
        </r>
      </text>
    </comment>
    <comment ref="G331" authorId="0" shapeId="0" xr:uid="{00000000-0006-0000-0000-00005A000000}">
      <text>
        <r>
          <rPr>
            <sz val="9"/>
            <color indexed="81"/>
            <rFont val="Tahoma"/>
            <family val="2"/>
          </rPr>
          <t xml:space="preserve">Monitors were:
Cindy Mom
</t>
        </r>
      </text>
    </comment>
    <comment ref="H331" authorId="0" shapeId="0" xr:uid="{00000000-0006-0000-0000-00005B000000}">
      <text>
        <r>
          <rPr>
            <sz val="9"/>
            <color indexed="81"/>
            <rFont val="Tahoma"/>
            <family val="2"/>
          </rPr>
          <t>Monitors were;
Cindy Mom</t>
        </r>
      </text>
    </comment>
    <comment ref="I331" authorId="0" shapeId="0" xr:uid="{00000000-0006-0000-0000-00005C000000}">
      <text>
        <r>
          <rPr>
            <sz val="9"/>
            <color indexed="81"/>
            <rFont val="Tahoma"/>
            <family val="2"/>
          </rPr>
          <t xml:space="preserve">Monitors were;
Cindy Mom
Erin McKittrick
</t>
        </r>
      </text>
    </comment>
    <comment ref="J331" authorId="0" shapeId="0" xr:uid="{00000000-0006-0000-0000-00005D000000}">
      <text>
        <r>
          <rPr>
            <sz val="9"/>
            <color indexed="81"/>
            <rFont val="Tahoma"/>
            <family val="2"/>
          </rPr>
          <t xml:space="preserve">Monitors were;
Cindy Mom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George</author>
  </authors>
  <commentList>
    <comment ref="A9" authorId="0" shapeId="0" xr:uid="{00000000-0006-0000-0100-00000100000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A10" authorId="0" shapeId="0" xr:uid="{00000000-0006-0000-0100-000002000000}">
      <text>
        <r>
          <rPr>
            <sz val="9"/>
            <color indexed="81"/>
            <rFont val="Tahoma"/>
            <family val="2"/>
          </rPr>
          <t xml:space="preserve">The route began at the Anchor Point parking lot.  Observers then hiked to the mouth of the Anchor River, a distance of  
 approximately 1.5 miles, making observations on both sides of the barrier beach.
</t>
        </r>
      </text>
    </comment>
    <comment ref="B15" authorId="0" shapeId="0" xr:uid="{00000000-0006-0000-0100-000003000000}">
      <text>
        <r>
          <rPr>
            <sz val="9"/>
            <color indexed="81"/>
            <rFont val="Tahoma"/>
            <family val="2"/>
          </rPr>
          <t>Monitors were;
Michelle Michaud
Kristen Nicole Wright
Michael Craig
Lynn Kee</t>
        </r>
      </text>
    </comment>
    <comment ref="C15" authorId="0" shapeId="0" xr:uid="{00000000-0006-0000-0100-000004000000}">
      <text>
        <r>
          <rPr>
            <sz val="9"/>
            <color indexed="81"/>
            <rFont val="Tahoma"/>
            <family val="2"/>
          </rPr>
          <t xml:space="preserve">Monitors were;
Michelle Michaud
Michael Craig
Jim Herbert
</t>
        </r>
      </text>
    </comment>
    <comment ref="D15" authorId="0" shapeId="0" xr:uid="{00000000-0006-0000-0100-000005000000}">
      <text>
        <r>
          <rPr>
            <sz val="9"/>
            <color indexed="81"/>
            <rFont val="Tahoma"/>
            <family val="2"/>
          </rPr>
          <t>Monitors were:
Michelle Michaud
MaryAnn Dyke
Michael Craig
Jim Herbert
Kristen Nicole Wright
Diane Tracy</t>
        </r>
      </text>
    </comment>
    <comment ref="E15" authorId="0" shapeId="0" xr:uid="{00000000-0006-0000-0100-000006000000}">
      <text>
        <r>
          <rPr>
            <sz val="9"/>
            <color indexed="81"/>
            <rFont val="Tahoma"/>
            <family val="2"/>
          </rPr>
          <t xml:space="preserve">Monitors were:
Michelle Michaud
Jim Herbert
MaryAnn Dyke
Michael Craig
Diane Tracy
Lynn Kee
</t>
        </r>
      </text>
    </comment>
    <comment ref="F15" authorId="0" shapeId="0" xr:uid="{00000000-0006-0000-0100-000007000000}">
      <text>
        <r>
          <rPr>
            <sz val="9"/>
            <color indexed="81"/>
            <rFont val="Tahoma"/>
            <family val="2"/>
          </rPr>
          <t xml:space="preserve">Monitors were;
Michelle Michaud
MaryAnn Dyke
</t>
        </r>
      </text>
    </comment>
    <comment ref="G15" authorId="0" shapeId="0" xr:uid="{00000000-0006-0000-0100-000008000000}">
      <text>
        <r>
          <rPr>
            <sz val="9"/>
            <color indexed="81"/>
            <rFont val="Tahoma"/>
            <family val="2"/>
          </rPr>
          <t xml:space="preserve">Monitors were;
Michelle Michaud
Michael Craig
Kristen Nicole Wright
Jim Herbert
Lori Paulsrud
Mary Ann Dyke
Lynn Kee
</t>
        </r>
      </text>
    </comment>
    <comment ref="H15" authorId="0" shapeId="0" xr:uid="{00000000-0006-0000-0100-000009000000}">
      <text>
        <r>
          <rPr>
            <sz val="9"/>
            <color indexed="81"/>
            <rFont val="Tahoma"/>
            <family val="2"/>
          </rPr>
          <t xml:space="preserve">Monitors were;
Michelle Michaud
Lori Paulsrod
Mary Ann Dyke
</t>
        </r>
      </text>
    </comment>
    <comment ref="I15" authorId="0" shapeId="0" xr:uid="{00000000-0006-0000-0100-00000A000000}">
      <text>
        <r>
          <rPr>
            <sz val="9"/>
            <color indexed="81"/>
            <rFont val="Tahoma"/>
            <family val="2"/>
          </rPr>
          <t>Monitors were;
Michelle Michaud
MaryAnn Dyke
Jim Herbert
Kristen Nicole Wright
Lynn Kee</t>
        </r>
      </text>
    </comment>
    <comment ref="J15" authorId="0" shapeId="0" xr:uid="{00000000-0006-0000-0100-00000B000000}">
      <text>
        <r>
          <rPr>
            <sz val="9"/>
            <color indexed="81"/>
            <rFont val="Tahoma"/>
            <family val="2"/>
          </rPr>
          <t xml:space="preserve">Monitors were:
Jim Herbert
Mary Ann  Dyke
Diane Tracy
</t>
        </r>
      </text>
    </comment>
    <comment ref="A56" authorId="0" shapeId="0" xr:uid="{00000000-0006-0000-0100-00000C000000}">
      <text>
        <r>
          <rPr>
            <sz val="9"/>
            <color indexed="81"/>
            <rFont val="Tahoma"/>
            <family val="2"/>
          </rPr>
          <t xml:space="preserve">
The Kasilof River is 62 miles north of Homer.  It begins at Tustumena Lake, the largest lake on the Kenai Peninsula, and drains into Cook Inlet.  All of the mouth of the river is owned by the Alaska Department of Natural resources and classified as a Special Use Area.
The survey area  included the saltwater mud flats on the north bank of the river are a critical feeding area for wintering rock sandpipers and for migrating shorebirds in the spring and fall. At low water the waterline often retreats over one mile out into the Cook Inlet exposing silty, muck laden with small clams and polychaete worms.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George</author>
  </authors>
  <commentList>
    <comment ref="A4" authorId="0" shapeId="0" xr:uid="{00000000-0006-0000-0500-000001000000}">
      <text>
        <r>
          <rPr>
            <sz val="9"/>
            <color indexed="81"/>
            <rFont val="Tahoma"/>
            <family val="2"/>
          </rPr>
          <t xml:space="preserve">
The Anchor River site includes the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A5" authorId="0" shapeId="0" xr:uid="{00000000-0006-0000-0500-000002000000}">
      <text>
        <r>
          <rPr>
            <sz val="9"/>
            <color indexed="81"/>
            <rFont val="Tahoma"/>
            <family val="2"/>
          </rPr>
          <t xml:space="preserve">The route followed is 
 approximately 1.5 miles long.
</t>
        </r>
      </text>
    </comment>
    <comment ref="B11" authorId="0" shapeId="0" xr:uid="{00000000-0006-0000-0500-000003000000}">
      <text>
        <r>
          <rPr>
            <sz val="9"/>
            <color indexed="81"/>
            <rFont val="Tahoma"/>
            <family val="2"/>
          </rPr>
          <t xml:space="preserve">Monitors were;
Michael Craig
</t>
        </r>
      </text>
    </comment>
    <comment ref="C11" authorId="0" shapeId="0" xr:uid="{00000000-0006-0000-0500-000004000000}">
      <text>
        <r>
          <rPr>
            <sz val="9"/>
            <color indexed="81"/>
            <rFont val="Tahoma"/>
            <family val="2"/>
          </rPr>
          <t xml:space="preserve">Monitors were; 
Michael Craig
Michelle Michaud
</t>
        </r>
      </text>
    </comment>
    <comment ref="D11" authorId="0" shapeId="0" xr:uid="{00000000-0006-0000-0500-000005000000}">
      <text>
        <r>
          <rPr>
            <sz val="9"/>
            <color indexed="81"/>
            <rFont val="Tahoma"/>
            <family val="2"/>
          </rPr>
          <t xml:space="preserve">Monitors were;
Michael Craig
Michelle Michaud
Lori Paulsrud
Eric Paulsrud
</t>
        </r>
      </text>
    </comment>
    <comment ref="E11" authorId="0" shapeId="0" xr:uid="{00000000-0006-0000-0500-000006000000}">
      <text>
        <r>
          <rPr>
            <sz val="9"/>
            <color indexed="81"/>
            <rFont val="Tahoma"/>
            <family val="2"/>
          </rPr>
          <t xml:space="preserve">Monitors were;
Michael Craig
</t>
        </r>
      </text>
    </comment>
    <comment ref="F11" authorId="0" shapeId="0" xr:uid="{00000000-0006-0000-0500-000007000000}">
      <text>
        <r>
          <rPr>
            <sz val="9"/>
            <color indexed="81"/>
            <rFont val="Tahoma"/>
            <family val="2"/>
          </rPr>
          <t>Monitors were;
Michael Craig
Michelle Michaud
Lori Paulsrud
Eric Paulsrud</t>
        </r>
      </text>
    </comment>
    <comment ref="G11" authorId="0" shapeId="0" xr:uid="{00000000-0006-0000-0500-000008000000}">
      <text>
        <r>
          <rPr>
            <sz val="9"/>
            <color indexed="81"/>
            <rFont val="Tahoma"/>
            <family val="2"/>
          </rPr>
          <t>Monitors were;
Michael Craig
Michelle Michaud
Lori Paulsrud</t>
        </r>
      </text>
    </comment>
    <comment ref="H11" authorId="0" shapeId="0" xr:uid="{00000000-0006-0000-0500-000009000000}">
      <text>
        <r>
          <rPr>
            <sz val="9"/>
            <color indexed="81"/>
            <rFont val="Tahoma"/>
            <family val="2"/>
          </rPr>
          <t xml:space="preserve">Monitors were;
Michael Craig
Michelle Michaud
Lori Paulsrud
Eric Paulsrud
</t>
        </r>
      </text>
    </comment>
    <comment ref="I11" authorId="0" shapeId="0" xr:uid="{00000000-0006-0000-0500-00000A000000}">
      <text>
        <r>
          <rPr>
            <sz val="9"/>
            <color indexed="81"/>
            <rFont val="Tahoma"/>
            <family val="2"/>
          </rPr>
          <t xml:space="preserve">Monitors were;
Michael Craig
Michelle Michaud
Lori Paulsrud
Eric Paulsrud
</t>
        </r>
      </text>
    </comment>
    <comment ref="J11" authorId="0" shapeId="0" xr:uid="{00000000-0006-0000-0500-00000B000000}">
      <text>
        <r>
          <rPr>
            <sz val="9"/>
            <color indexed="81"/>
            <rFont val="Tahoma"/>
            <family val="2"/>
          </rPr>
          <t xml:space="preserve">Monitors were;
Michael Craig
Lori Paulsrud
Eric Paulsrud
</t>
        </r>
      </text>
    </comment>
    <comment ref="A52" authorId="0" shapeId="0" xr:uid="{00000000-0006-0000-0500-00000C000000}">
      <text>
        <r>
          <rPr>
            <sz val="9"/>
            <color indexed="81"/>
            <rFont val="Tahoma"/>
            <family val="2"/>
          </rPr>
          <t xml:space="preserve">
The Anchor River site includes the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55" authorId="0" shapeId="0" xr:uid="{00000000-0006-0000-0500-00000D000000}">
      <text>
        <r>
          <rPr>
            <sz val="9"/>
            <color indexed="81"/>
            <rFont val="Tahoma"/>
            <family val="2"/>
          </rPr>
          <t xml:space="preserve">Monitors were;
Michael Craig
Ty Gates
Erick Paulsrud
Lori Paulsrud
</t>
        </r>
      </text>
    </comment>
    <comment ref="C55" authorId="0" shapeId="0" xr:uid="{00000000-0006-0000-0500-00000E000000}">
      <text>
        <r>
          <rPr>
            <sz val="9"/>
            <color indexed="81"/>
            <rFont val="Tahoma"/>
            <family val="2"/>
          </rPr>
          <t xml:space="preserve">Monitors were; 
Michael Craig
Erick Paulsrud
Lori Paulsrud
Ty Gates
</t>
        </r>
      </text>
    </comment>
    <comment ref="D55" authorId="0" shapeId="0" xr:uid="{00000000-0006-0000-0500-00000F000000}">
      <text>
        <r>
          <rPr>
            <sz val="9"/>
            <color indexed="81"/>
            <rFont val="Tahoma"/>
            <family val="2"/>
          </rPr>
          <t xml:space="preserve">
Monitors were;
Michael Craig
Lori Paulsrud
Eric Paulsrud
</t>
        </r>
      </text>
    </comment>
    <comment ref="E55" authorId="0" shapeId="0" xr:uid="{00000000-0006-0000-0500-000010000000}">
      <text>
        <r>
          <rPr>
            <sz val="9"/>
            <color indexed="81"/>
            <rFont val="Tahoma"/>
            <family val="2"/>
          </rPr>
          <t xml:space="preserve">Monitors were;
Michael Craig
Ty Gates
Erick Paulsrud
Lori Paulsrud
</t>
        </r>
      </text>
    </comment>
    <comment ref="F55" authorId="0" shapeId="0" xr:uid="{00000000-0006-0000-0500-000011000000}">
      <text>
        <r>
          <rPr>
            <sz val="9"/>
            <color indexed="81"/>
            <rFont val="Tahoma"/>
            <family val="2"/>
          </rPr>
          <t>Monitors were;
Michael Craig
Lori Paulsrud
Eric Paulsrud
Ty Gates</t>
        </r>
      </text>
    </comment>
    <comment ref="G55" authorId="0" shapeId="0" xr:uid="{00000000-0006-0000-0500-000012000000}">
      <text>
        <r>
          <rPr>
            <sz val="9"/>
            <color indexed="81"/>
            <rFont val="Tahoma"/>
            <family val="2"/>
          </rPr>
          <t>Monitors were;
Michael Craig
Lori Paulsrud
Erick Paulsrud</t>
        </r>
      </text>
    </comment>
    <comment ref="H55" authorId="0" shapeId="0" xr:uid="{00000000-0006-0000-0500-000013000000}">
      <text>
        <r>
          <rPr>
            <sz val="9"/>
            <color indexed="81"/>
            <rFont val="Tahoma"/>
            <family val="2"/>
          </rPr>
          <t xml:space="preserve">Monitors were;
Lori Paulsrud
Eric Paulsrud
</t>
        </r>
      </text>
    </comment>
    <comment ref="I55" authorId="0" shapeId="0" xr:uid="{00000000-0006-0000-0500-000014000000}">
      <text>
        <r>
          <rPr>
            <sz val="9"/>
            <color indexed="81"/>
            <rFont val="Tahoma"/>
            <family val="2"/>
          </rPr>
          <t xml:space="preserve">Monitors were;
Dale Chorman
</t>
        </r>
      </text>
    </comment>
    <comment ref="J55" authorId="0" shapeId="0" xr:uid="{00000000-0006-0000-0500-000015000000}">
      <text>
        <r>
          <rPr>
            <sz val="9"/>
            <color indexed="81"/>
            <rFont val="Tahoma"/>
            <family val="2"/>
          </rPr>
          <t xml:space="preserve">Monitors were;
Lori Paulsrud
Eric Paulsrud
</t>
        </r>
      </text>
    </comment>
    <comment ref="A95" authorId="0" shapeId="0" xr:uid="{00000000-0006-0000-0500-00001600000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98" authorId="0" shapeId="0" xr:uid="{00000000-0006-0000-0500-000017000000}">
      <text>
        <r>
          <rPr>
            <sz val="9"/>
            <color indexed="81"/>
            <rFont val="Tahoma"/>
            <family val="2"/>
          </rPr>
          <t xml:space="preserve">Monitors were;
Michelle Michaud
Michael Craig
Ken Jones
</t>
        </r>
      </text>
    </comment>
    <comment ref="C98" authorId="0" shapeId="0" xr:uid="{00000000-0006-0000-0500-000018000000}">
      <text>
        <r>
          <rPr>
            <sz val="9"/>
            <color indexed="81"/>
            <rFont val="Tahoma"/>
            <family val="2"/>
          </rPr>
          <t xml:space="preserve">Monitors were;
Michelle Michaud
Michael Craig
Ken Jones
</t>
        </r>
      </text>
    </comment>
    <comment ref="D98" authorId="0" shapeId="0" xr:uid="{00000000-0006-0000-0500-000019000000}">
      <text>
        <r>
          <rPr>
            <sz val="9"/>
            <color indexed="81"/>
            <rFont val="Tahoma"/>
            <family val="2"/>
          </rPr>
          <t xml:space="preserve">Monitors were;
Michelle Michaud
Michael Craig
Ken Jones
</t>
        </r>
      </text>
    </comment>
    <comment ref="E98" authorId="0" shapeId="0" xr:uid="{00000000-0006-0000-0500-00001A000000}">
      <text>
        <r>
          <rPr>
            <sz val="9"/>
            <color indexed="81"/>
            <rFont val="Tahoma"/>
            <family val="2"/>
          </rPr>
          <t xml:space="preserve">Monitors were;
Michelle Michaud
Michael Craig
Ken Jones
</t>
        </r>
      </text>
    </comment>
    <comment ref="F98" authorId="0" shapeId="0" xr:uid="{00000000-0006-0000-0500-00001B000000}">
      <text>
        <r>
          <rPr>
            <sz val="9"/>
            <color indexed="81"/>
            <rFont val="Tahoma"/>
            <family val="2"/>
          </rPr>
          <t xml:space="preserve">Monitors were;
Michelle Michaud
Michael Craig
Ken Jones
</t>
        </r>
      </text>
    </comment>
    <comment ref="G98" authorId="0" shapeId="0" xr:uid="{00000000-0006-0000-0500-00001C000000}">
      <text>
        <r>
          <rPr>
            <sz val="9"/>
            <color indexed="81"/>
            <rFont val="Tahoma"/>
            <family val="2"/>
          </rPr>
          <t xml:space="preserve">Monitors were;
Michelle Michaud
Michael Craig
Ken Jones
Lori Paulsrud
</t>
        </r>
      </text>
    </comment>
    <comment ref="H98" authorId="0" shapeId="0" xr:uid="{00000000-0006-0000-0500-00001D000000}">
      <text>
        <r>
          <rPr>
            <sz val="9"/>
            <color indexed="81"/>
            <rFont val="Tahoma"/>
            <family val="2"/>
          </rPr>
          <t xml:space="preserve">
Monitors were;
Michelle Michaud
Michael Craig
</t>
        </r>
      </text>
    </comment>
    <comment ref="I98" authorId="0" shapeId="0" xr:uid="{00000000-0006-0000-0500-00001E000000}">
      <text>
        <r>
          <rPr>
            <sz val="9"/>
            <color indexed="81"/>
            <rFont val="Tahoma"/>
            <family val="2"/>
          </rPr>
          <t xml:space="preserve">Monitors were;
Michelle Michaud
Michael Craig
Ken Jones
</t>
        </r>
      </text>
    </comment>
    <comment ref="J98" authorId="0" shapeId="0" xr:uid="{00000000-0006-0000-0500-00001F000000}">
      <text>
        <r>
          <rPr>
            <sz val="9"/>
            <color indexed="81"/>
            <rFont val="Tahoma"/>
            <family val="2"/>
          </rPr>
          <t xml:space="preserve">Monitors were;
Michelle Michaud
Michael Craig
Ken Jones
</t>
        </r>
      </text>
    </comment>
    <comment ref="A138" authorId="0" shapeId="0" xr:uid="{00000000-0006-0000-0500-00002000000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141" authorId="0" shapeId="0" xr:uid="{00000000-0006-0000-0500-000021000000}">
      <text>
        <r>
          <rPr>
            <sz val="9"/>
            <color indexed="81"/>
            <rFont val="Tahoma"/>
            <family val="2"/>
          </rPr>
          <t xml:space="preserve">Monitors were;
Michelle Michaud
Michael Craig
Jim Herbert
Kristen Nicole Wright
</t>
        </r>
      </text>
    </comment>
    <comment ref="C141" authorId="0" shapeId="0" xr:uid="{00000000-0006-0000-0500-000022000000}">
      <text>
        <r>
          <rPr>
            <sz val="9"/>
            <color indexed="81"/>
            <rFont val="Tahoma"/>
            <family val="2"/>
          </rPr>
          <t xml:space="preserve">Monitors were;
Michelle Michaud
Michael Craig
Kristen Nicole Wright
Jim Herbert
Cindy Graham
</t>
        </r>
      </text>
    </comment>
    <comment ref="D141" authorId="0" shapeId="0" xr:uid="{00000000-0006-0000-0500-000023000000}">
      <text>
        <r>
          <rPr>
            <sz val="9"/>
            <color indexed="81"/>
            <rFont val="Tahoma"/>
            <family val="2"/>
          </rPr>
          <t xml:space="preserve">Monitors were;
Michelle Michaud
Michael Craig
Ken Jones
Jim Herbert
Cindy Graham
Lori Paulsrud
</t>
        </r>
      </text>
    </comment>
    <comment ref="E141" authorId="0" shapeId="0" xr:uid="{00000000-0006-0000-0500-000024000000}">
      <text>
        <r>
          <rPr>
            <sz val="9"/>
            <color indexed="81"/>
            <rFont val="Tahoma"/>
            <family val="2"/>
          </rPr>
          <t xml:space="preserve">Monitors were;
Michelle Michaud
Michael Craig
Jim Herbert
</t>
        </r>
      </text>
    </comment>
    <comment ref="F141" authorId="0" shapeId="0" xr:uid="{00000000-0006-0000-0500-000025000000}">
      <text>
        <r>
          <rPr>
            <sz val="9"/>
            <color indexed="81"/>
            <rFont val="Tahoma"/>
            <family val="2"/>
          </rPr>
          <t xml:space="preserve">Monitors were;
Michelle Michaud
Cindy Graham
Lori Pualsrod
</t>
        </r>
      </text>
    </comment>
    <comment ref="G141" authorId="0" shapeId="0" xr:uid="{00000000-0006-0000-0500-000026000000}">
      <text>
        <r>
          <rPr>
            <sz val="9"/>
            <color indexed="81"/>
            <rFont val="Tahoma"/>
            <family val="2"/>
          </rPr>
          <t xml:space="preserve">Monitors were;
Michelle Michaud
Michael Craig
Michelle Michaud
Lori Paulsrud
Jim Herbert
</t>
        </r>
      </text>
    </comment>
    <comment ref="H141" authorId="0" shapeId="0" xr:uid="{00000000-0006-0000-0500-000027000000}">
      <text>
        <r>
          <rPr>
            <sz val="9"/>
            <color indexed="81"/>
            <rFont val="Tahoma"/>
            <family val="2"/>
          </rPr>
          <t xml:space="preserve">
Monitors were;
Michelle Michaud
Michael Craig
Monitors were;
Michelle Michaud
Jim Herbert
Lori Paulsrud
Ken Jones
</t>
        </r>
      </text>
    </comment>
    <comment ref="I141" authorId="0" shapeId="0" xr:uid="{00000000-0006-0000-0500-000028000000}">
      <text>
        <r>
          <rPr>
            <sz val="9"/>
            <color indexed="81"/>
            <rFont val="Tahoma"/>
            <family val="2"/>
          </rPr>
          <t xml:space="preserve">Monitors were;
Marie McCarty
Steve Baird
Ken Jones
Kristen Nicole Wright
</t>
        </r>
      </text>
    </comment>
    <comment ref="J141" authorId="0" shapeId="0" xr:uid="{00000000-0006-0000-0500-000029000000}">
      <text>
        <r>
          <rPr>
            <sz val="9"/>
            <color indexed="81"/>
            <rFont val="Tahoma"/>
            <family val="2"/>
          </rPr>
          <t>Monitors were;
Michelle Michaud
Kristen Wright
Cindy Graham</t>
        </r>
      </text>
    </comment>
    <comment ref="A182" authorId="0" shapeId="0" xr:uid="{00000000-0006-0000-0500-00002A00000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185" authorId="0" shapeId="0" xr:uid="{00000000-0006-0000-0500-00002B000000}">
      <text>
        <r>
          <rPr>
            <sz val="9"/>
            <color indexed="81"/>
            <rFont val="Tahoma"/>
            <family val="2"/>
          </rPr>
          <t xml:space="preserve">Monitors were:
Michael Craig
Jim Herbert
Kristen Nicole Wright
Diane Tracy
</t>
        </r>
      </text>
    </comment>
    <comment ref="C185" authorId="0" shapeId="0" xr:uid="{00000000-0006-0000-0500-00002C000000}">
      <text>
        <r>
          <rPr>
            <sz val="9"/>
            <color indexed="81"/>
            <rFont val="Tahoma"/>
            <family val="2"/>
          </rPr>
          <t xml:space="preserve">
Monitors were;
Michael Craig
Diane Tracy
Lori Paulsrud</t>
        </r>
      </text>
    </comment>
    <comment ref="D185" authorId="0" shapeId="0" xr:uid="{00000000-0006-0000-0500-00002D000000}">
      <text>
        <r>
          <rPr>
            <sz val="9"/>
            <color indexed="81"/>
            <rFont val="Tahoma"/>
            <family val="2"/>
          </rPr>
          <t xml:space="preserve">Monitors were:
Michael Craig
Jim Herbert
Kristen Wright
Diane Tracy
</t>
        </r>
      </text>
    </comment>
    <comment ref="E185" authorId="0" shapeId="0" xr:uid="{00000000-0006-0000-0500-00002E000000}">
      <text>
        <r>
          <rPr>
            <sz val="9"/>
            <color indexed="81"/>
            <rFont val="Tahoma"/>
            <family val="2"/>
          </rPr>
          <t>Monitors were;
Michael Craig
Jim Herbert
Lori Paulsrud
Kristen Nicole Wright</t>
        </r>
      </text>
    </comment>
    <comment ref="F185" authorId="0" shapeId="0" xr:uid="{00000000-0006-0000-0500-00002F000000}">
      <text>
        <r>
          <rPr>
            <sz val="9"/>
            <color indexed="81"/>
            <rFont val="Tahoma"/>
            <family val="2"/>
          </rPr>
          <t xml:space="preserve">
Monitors were;
Michael Craig
Lori Paulsrud
Diane Tracy
</t>
        </r>
      </text>
    </comment>
    <comment ref="G185" authorId="0" shapeId="0" xr:uid="{00000000-0006-0000-0500-000030000000}">
      <text>
        <r>
          <rPr>
            <sz val="9"/>
            <color indexed="81"/>
            <rFont val="Tahoma"/>
            <family val="2"/>
          </rPr>
          <t xml:space="preserve">Monitors were;
Michael Craig
Jim Herbert
Lori Paulsrud
Diane Tracy
</t>
        </r>
      </text>
    </comment>
    <comment ref="H185" authorId="0" shapeId="0" xr:uid="{00000000-0006-0000-0500-000031000000}">
      <text>
        <r>
          <rPr>
            <sz val="9"/>
            <color indexed="81"/>
            <rFont val="Tahoma"/>
            <family val="2"/>
          </rPr>
          <t xml:space="preserve">Monitors were;
Michael Craig
Jim Herbert
Diane Tracy
</t>
        </r>
      </text>
    </comment>
    <comment ref="I185" authorId="0" shapeId="0" xr:uid="{00000000-0006-0000-0500-000032000000}">
      <text>
        <r>
          <rPr>
            <sz val="9"/>
            <color indexed="81"/>
            <rFont val="Tahoma"/>
            <family val="2"/>
          </rPr>
          <t xml:space="preserve">Monitors were;
Michael Craig
Diane Tracy
Lori Paulsrud
</t>
        </r>
      </text>
    </comment>
    <comment ref="J185" authorId="0" shapeId="0" xr:uid="{00000000-0006-0000-0500-000033000000}">
      <text>
        <r>
          <rPr>
            <sz val="9"/>
            <color indexed="81"/>
            <rFont val="Tahoma"/>
            <family val="2"/>
          </rPr>
          <t xml:space="preserve">Monitors were;
Michael Craig
Diane Tracy
</t>
        </r>
      </text>
    </comment>
    <comment ref="A226" authorId="0" shapeId="0" xr:uid="{00000000-0006-0000-0500-00003400000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229" authorId="0" shapeId="0" xr:uid="{00000000-0006-0000-0500-000035000000}">
      <text>
        <r>
          <rPr>
            <sz val="9"/>
            <color indexed="81"/>
            <rFont val="Tahoma"/>
            <family val="2"/>
          </rPr>
          <t xml:space="preserve">Monitors were;
Michelle Michaud
Jim Herbert
MaryAnn Dyke
Kristen Nicole Wright
Michael Craig
</t>
        </r>
      </text>
    </comment>
    <comment ref="C229" authorId="0" shapeId="0" xr:uid="{00000000-0006-0000-0500-000036000000}">
      <text>
        <r>
          <rPr>
            <sz val="9"/>
            <color indexed="81"/>
            <rFont val="Tahoma"/>
            <family val="2"/>
          </rPr>
          <t xml:space="preserve">Monitors were;
Michelle Michaud
MaryAnn Dyke
Michael Craig
</t>
        </r>
      </text>
    </comment>
    <comment ref="D229" authorId="0" shapeId="0" xr:uid="{00000000-0006-0000-0500-000037000000}">
      <text>
        <r>
          <rPr>
            <sz val="9"/>
            <color indexed="81"/>
            <rFont val="Tahoma"/>
            <family val="2"/>
          </rPr>
          <t xml:space="preserve">Monitors were:
Michelle Michaud
MaryAnn Dyke
Michael Craig
</t>
        </r>
      </text>
    </comment>
    <comment ref="E229" authorId="0" shapeId="0" xr:uid="{00000000-0006-0000-0500-000038000000}">
      <text>
        <r>
          <rPr>
            <sz val="9"/>
            <color indexed="81"/>
            <rFont val="Tahoma"/>
            <family val="2"/>
          </rPr>
          <t xml:space="preserve">Monitors were:
Michelle Michaud
Jim Herbert
MaryAnn Dyke
Kristen Nicole Wright
Michael Craig
</t>
        </r>
      </text>
    </comment>
    <comment ref="F229" authorId="0" shapeId="0" xr:uid="{00000000-0006-0000-0500-000039000000}">
      <text>
        <r>
          <rPr>
            <sz val="9"/>
            <color indexed="81"/>
            <rFont val="Tahoma"/>
            <family val="2"/>
          </rPr>
          <t xml:space="preserve">Monitors were;
Michelle Michaud
Lori Paulsrod
MaryAnn Dyke
Kristen Nicole Wright
Michael Craig
</t>
        </r>
      </text>
    </comment>
    <comment ref="G229" authorId="0" shapeId="0" xr:uid="{00000000-0006-0000-0500-00003A000000}">
      <text>
        <r>
          <rPr>
            <sz val="9"/>
            <color indexed="81"/>
            <rFont val="Tahoma"/>
            <family val="2"/>
          </rPr>
          <t xml:space="preserve">Monitors were;
Michelle Michaud
Michael Craig
</t>
        </r>
      </text>
    </comment>
    <comment ref="H229" authorId="0" shapeId="0" xr:uid="{00000000-0006-0000-0500-00003B000000}">
      <text>
        <r>
          <rPr>
            <sz val="9"/>
            <color indexed="81"/>
            <rFont val="Tahoma"/>
            <family val="2"/>
          </rPr>
          <t xml:space="preserve">Monitors were;
Michelle Michaud
Lori Paulsrod
Kristen Nicole Wright
</t>
        </r>
      </text>
    </comment>
    <comment ref="I229" authorId="0" shapeId="0" xr:uid="{00000000-0006-0000-0500-00003C000000}">
      <text>
        <r>
          <rPr>
            <sz val="9"/>
            <color indexed="81"/>
            <rFont val="Tahoma"/>
            <family val="2"/>
          </rPr>
          <t xml:space="preserve">Monitors were;
Michelle Michaud
MaryAnn Dyke
</t>
        </r>
      </text>
    </comment>
    <comment ref="J229" authorId="0" shapeId="0" xr:uid="{00000000-0006-0000-0500-00003D000000}">
      <text>
        <r>
          <rPr>
            <sz val="9"/>
            <color indexed="81"/>
            <rFont val="Tahoma"/>
            <family val="2"/>
          </rPr>
          <t xml:space="preserve">Monitors were:
Michelle Michaud
</t>
        </r>
      </text>
    </comment>
    <comment ref="A269" authorId="0" shapeId="0" xr:uid="{3F55ADA9-F051-46CC-86EC-B442FBD2BFE7}">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272" authorId="0" shapeId="0" xr:uid="{5B7EFC56-F4E0-42EA-AB18-E38708FAB2F7}">
      <text>
        <r>
          <rPr>
            <sz val="9"/>
            <color indexed="81"/>
            <rFont val="Tahoma"/>
            <family val="2"/>
          </rPr>
          <t>Monitors were;
Michelle Michaud
Kristen Nicole Wright
Michael Craig
Lynn Kee</t>
        </r>
      </text>
    </comment>
    <comment ref="C272" authorId="0" shapeId="0" xr:uid="{A5C9CB1A-8A7D-4D65-86A8-428C2D7EFA58}">
      <text>
        <r>
          <rPr>
            <sz val="9"/>
            <color indexed="81"/>
            <rFont val="Tahoma"/>
            <family val="2"/>
          </rPr>
          <t xml:space="preserve">Monitors were;
Michelle Michaud
Michael Craig
Jim Herbert
</t>
        </r>
      </text>
    </comment>
    <comment ref="D272" authorId="0" shapeId="0" xr:uid="{3DF3792D-400F-4E34-8159-D27CD0C455E5}">
      <text>
        <r>
          <rPr>
            <sz val="9"/>
            <color indexed="81"/>
            <rFont val="Tahoma"/>
            <family val="2"/>
          </rPr>
          <t>Monitors were:
Michelle Michaud
MaryAnn Dyke
Michael Craig
Jim Herbert
Kristen Nicole Wright
Diane Tracy</t>
        </r>
      </text>
    </comment>
    <comment ref="E272" authorId="0" shapeId="0" xr:uid="{D2A5A849-8D7D-4864-84BA-7238349935D4}">
      <text>
        <r>
          <rPr>
            <sz val="9"/>
            <color indexed="81"/>
            <rFont val="Tahoma"/>
            <family val="2"/>
          </rPr>
          <t xml:space="preserve">Monitors were:
Michelle Michaud
Jim Herbert
MaryAnn Dyke
Michael Craig
Diane Tracy
Lynn Kee
</t>
        </r>
      </text>
    </comment>
    <comment ref="F272" authorId="0" shapeId="0" xr:uid="{8E961C68-9D48-4667-8AF6-21A6C727505D}">
      <text>
        <r>
          <rPr>
            <sz val="9"/>
            <color indexed="81"/>
            <rFont val="Tahoma"/>
            <family val="2"/>
          </rPr>
          <t xml:space="preserve">Monitors were;
Michelle Michaud
MaryAnn Dyke
</t>
        </r>
      </text>
    </comment>
    <comment ref="G272" authorId="0" shapeId="0" xr:uid="{90FF9CC7-AE4E-4C6A-9FC8-2C0E53069300}">
      <text>
        <r>
          <rPr>
            <sz val="9"/>
            <color indexed="81"/>
            <rFont val="Tahoma"/>
            <family val="2"/>
          </rPr>
          <t xml:space="preserve">Monitors were;
Michelle Michaud
Michael Craig
Kristen Nicole Wright
Jim Herbert
Lori Paulsrud
Mary Ann Dyke
Lynn Kee
</t>
        </r>
      </text>
    </comment>
    <comment ref="H272" authorId="0" shapeId="0" xr:uid="{EA864D38-874C-4FF0-A77A-D1051E7D5840}">
      <text>
        <r>
          <rPr>
            <sz val="9"/>
            <color indexed="81"/>
            <rFont val="Tahoma"/>
            <family val="2"/>
          </rPr>
          <t xml:space="preserve">Monitors were;
Michelle Michaud
Lori Paulsrod
Mary Ann Dyke
</t>
        </r>
      </text>
    </comment>
    <comment ref="I272" authorId="0" shapeId="0" xr:uid="{B750AB0A-F862-4C26-8FCB-60EDFF32E8F9}">
      <text>
        <r>
          <rPr>
            <sz val="9"/>
            <color indexed="81"/>
            <rFont val="Tahoma"/>
            <family val="2"/>
          </rPr>
          <t>Monitors were;
Michelle Michaud
MaryAnn Dyke
Jim Herbert
Kristen Nicole Wright
Lynn Kee</t>
        </r>
      </text>
    </comment>
    <comment ref="J272" authorId="0" shapeId="0" xr:uid="{F113CA35-C802-467D-B84C-7001B12D0492}">
      <text>
        <r>
          <rPr>
            <sz val="9"/>
            <color indexed="81"/>
            <rFont val="Tahoma"/>
            <family val="2"/>
          </rPr>
          <t xml:space="preserve">Monitors were:
Jim Herbert
Mary Ann  Dyke
Diane Tracy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George</author>
  </authors>
  <commentList>
    <comment ref="P156" authorId="0" shapeId="0" xr:uid="{00000000-0006-0000-0600-000001000000}">
      <text>
        <r>
          <rPr>
            <sz val="9"/>
            <color indexed="81"/>
            <rFont val="Tahoma"/>
            <family val="2"/>
          </rPr>
          <t xml:space="preserve">Seen from Homer Spit
</t>
        </r>
      </text>
    </comment>
    <comment ref="R156" authorId="0" shapeId="0" xr:uid="{00000000-0006-0000-0600-000002000000}">
      <text>
        <r>
          <rPr>
            <sz val="9"/>
            <color indexed="81"/>
            <rFont val="Tahoma"/>
            <family val="2"/>
          </rPr>
          <t xml:space="preserve">Seen from Homer Spit
</t>
        </r>
      </text>
    </comment>
    <comment ref="T156" authorId="0" shapeId="0" xr:uid="{00000000-0006-0000-0600-000003000000}">
      <text>
        <r>
          <rPr>
            <sz val="9"/>
            <color indexed="81"/>
            <rFont val="Tahoma"/>
            <family val="2"/>
          </rPr>
          <t xml:space="preserve">Seen from Homer Spit
</t>
        </r>
      </text>
    </comment>
    <comment ref="Y156" authorId="0" shapeId="0" xr:uid="{00000000-0006-0000-0600-000004000000}">
      <text>
        <r>
          <rPr>
            <sz val="9"/>
            <color indexed="81"/>
            <rFont val="Tahoma"/>
            <family val="2"/>
          </rPr>
          <t xml:space="preserve">Seen from Homer Spit
</t>
        </r>
      </text>
    </comment>
    <comment ref="AA156" authorId="0" shapeId="0" xr:uid="{00000000-0006-0000-0600-000005000000}">
      <text>
        <r>
          <rPr>
            <sz val="9"/>
            <color indexed="81"/>
            <rFont val="Tahoma"/>
            <family val="2"/>
          </rPr>
          <t xml:space="preserve">Seen from Homer Spit
</t>
        </r>
      </text>
    </comment>
    <comment ref="U167" authorId="0" shapeId="0" xr:uid="{00000000-0006-0000-0600-000006000000}">
      <text>
        <r>
          <rPr>
            <sz val="9"/>
            <color indexed="81"/>
            <rFont val="Tahoma"/>
            <family val="2"/>
          </rPr>
          <t xml:space="preserve">Seen from Homer Spit
</t>
        </r>
      </text>
    </comment>
    <comment ref="Y167" authorId="0" shapeId="0" xr:uid="{00000000-0006-0000-0600-000007000000}">
      <text>
        <r>
          <rPr>
            <sz val="9"/>
            <color indexed="81"/>
            <rFont val="Tahoma"/>
            <family val="2"/>
          </rPr>
          <t xml:space="preserve">
Seen from Homer Spit
</t>
        </r>
      </text>
    </comment>
    <comment ref="T205" authorId="0" shapeId="0" xr:uid="{00000000-0006-0000-0600-000008000000}">
      <text>
        <r>
          <rPr>
            <sz val="9"/>
            <color indexed="81"/>
            <rFont val="Tahoma"/>
            <family val="2"/>
          </rPr>
          <t xml:space="preserve">All observations except Surfbird were at the Homer Spit. The Surfbird was at Mud Bay/Mariners Park
</t>
        </r>
      </text>
    </comment>
    <comment ref="U205" authorId="0" shapeId="0" xr:uid="{00000000-0006-0000-0600-000009000000}">
      <text>
        <r>
          <rPr>
            <sz val="9"/>
            <color indexed="81"/>
            <rFont val="Tahoma"/>
            <family val="2"/>
          </rPr>
          <t xml:space="preserve">All observations except Surfbird were at the Homer Spit. The Surfbird was at Mud Bay/Mariners Park
</t>
        </r>
      </text>
    </comment>
    <comment ref="V205" authorId="0" shapeId="0" xr:uid="{00000000-0006-0000-0600-00000A000000}">
      <text>
        <r>
          <rPr>
            <sz val="9"/>
            <color indexed="81"/>
            <rFont val="Tahoma"/>
            <family val="2"/>
          </rPr>
          <t xml:space="preserve">All observations except Surfbird were at the Homer Spit. The Surfbird was at Mud Bay/Mariners Park
</t>
        </r>
      </text>
    </comment>
    <comment ref="W205" authorId="0" shapeId="0" xr:uid="{00000000-0006-0000-0600-00000B000000}">
      <text>
        <r>
          <rPr>
            <sz val="9"/>
            <color indexed="81"/>
            <rFont val="Tahoma"/>
            <family val="2"/>
          </rPr>
          <t xml:space="preserve">All observations except Surfbird were at the Homer Spit. The Surfbird was at Mud Bay/Mariners Park
</t>
        </r>
      </text>
    </comment>
    <comment ref="X205" authorId="0" shapeId="0" xr:uid="{00000000-0006-0000-0600-00000C000000}">
      <text>
        <r>
          <rPr>
            <sz val="9"/>
            <color indexed="81"/>
            <rFont val="Tahoma"/>
            <family val="2"/>
          </rPr>
          <t xml:space="preserve">All observations except Surfbird were at the Homer Spit. The Surfbird was at Mud Bay/Mariners Park
</t>
        </r>
      </text>
    </comment>
    <comment ref="Y205" authorId="0" shapeId="0" xr:uid="{00000000-0006-0000-0600-00000D000000}">
      <text>
        <r>
          <rPr>
            <sz val="9"/>
            <color indexed="81"/>
            <rFont val="Tahoma"/>
            <family val="2"/>
          </rPr>
          <t xml:space="preserve">All observations except Surfbird were at the Homer Spit. The Surfbird was at Mud Bay/Mariners Park
</t>
        </r>
      </text>
    </comment>
    <comment ref="Z205" authorId="0" shapeId="0" xr:uid="{00000000-0006-0000-0600-00000E000000}">
      <text>
        <r>
          <rPr>
            <sz val="9"/>
            <color indexed="81"/>
            <rFont val="Tahoma"/>
            <family val="2"/>
          </rPr>
          <t xml:space="preserve">All observations except Surfbird were at the Homer Spit. The Surfbird was at Mud Bay/Mariners Park
</t>
        </r>
      </text>
    </comment>
    <comment ref="AA205" authorId="0" shapeId="0" xr:uid="{00000000-0006-0000-0600-00000F000000}">
      <text>
        <r>
          <rPr>
            <sz val="9"/>
            <color indexed="81"/>
            <rFont val="Tahoma"/>
            <family val="2"/>
          </rPr>
          <t xml:space="preserve">All observations except Surfbird were at the Homer Spit. The Surfbird was at Mud Bay/Mariners Park
</t>
        </r>
      </text>
    </comment>
    <comment ref="AB205" authorId="0" shapeId="0" xr:uid="{00000000-0006-0000-0600-000010000000}">
      <text>
        <r>
          <rPr>
            <sz val="9"/>
            <color indexed="81"/>
            <rFont val="Tahoma"/>
            <family val="2"/>
          </rPr>
          <t xml:space="preserve">All observations except Surfbird were at the Homer Spit. The Surfbird was at Mud Bay/Mariners Park
</t>
        </r>
      </text>
    </comment>
    <comment ref="G209" authorId="0" shapeId="0" xr:uid="{00000000-0006-0000-0600-000011000000}">
      <text>
        <r>
          <rPr>
            <sz val="9"/>
            <color indexed="81"/>
            <rFont val="Tahoma"/>
            <family val="2"/>
          </rPr>
          <t xml:space="preserve">Seen at boat harbor
</t>
        </r>
      </text>
    </comment>
    <comment ref="O218" authorId="0" shapeId="0" xr:uid="{00000000-0006-0000-0600-000012000000}">
      <text>
        <r>
          <rPr>
            <sz val="9"/>
            <color indexed="81"/>
            <rFont val="Tahoma"/>
            <family val="2"/>
          </rPr>
          <t xml:space="preserve">Seen at Homer Spit
</t>
        </r>
      </text>
    </comment>
    <comment ref="A231" authorId="0" shapeId="0" xr:uid="{00000000-0006-0000-0600-000013000000}">
      <text>
        <r>
          <rPr>
            <sz val="9"/>
            <color indexed="81"/>
            <rFont val="Tahoma"/>
            <family val="2"/>
          </rPr>
          <t xml:space="preserve">All observations are from the Homer Spit except for all the Surfbird observations, which are from Mud Bay/Mariners Park and also the 5/8 Lesser Yellowlegs and Solitary Sandpiper.
</t>
        </r>
      </text>
    </comment>
  </commentList>
</comments>
</file>

<file path=xl/sharedStrings.xml><?xml version="1.0" encoding="utf-8"?>
<sst xmlns="http://schemas.openxmlformats.org/spreadsheetml/2006/main" count="9973" uniqueCount="704">
  <si>
    <t>Kachemak Bay Birders</t>
  </si>
  <si>
    <t>Semipalmated Plover</t>
  </si>
  <si>
    <t>Black-bellied Plover</t>
  </si>
  <si>
    <t>Greater Yellowlegs</t>
  </si>
  <si>
    <t>Lesser Yellowlegs</t>
  </si>
  <si>
    <t>Yellowlegs spp.</t>
  </si>
  <si>
    <t>Spotted Sandpiper</t>
  </si>
  <si>
    <t>Whimbrel</t>
  </si>
  <si>
    <t>Wandering Tattler</t>
  </si>
  <si>
    <t xml:space="preserve">Surfbird </t>
  </si>
  <si>
    <t xml:space="preserve">Black Turnstone </t>
  </si>
  <si>
    <t>Western Sandpiper</t>
  </si>
  <si>
    <t>Least Sandpiper</t>
  </si>
  <si>
    <t>Pectoral Sandpiper</t>
  </si>
  <si>
    <t>Dunlin</t>
  </si>
  <si>
    <t>Short-billed Dowitcher</t>
  </si>
  <si>
    <t>Wilson’s Snipe</t>
  </si>
  <si>
    <t>Red-necked Phalarope</t>
  </si>
  <si>
    <t>LESA/WESA/SESA</t>
  </si>
  <si>
    <t>SPECIES</t>
  </si>
  <si>
    <t>April</t>
  </si>
  <si>
    <t>May</t>
  </si>
  <si>
    <r>
      <t xml:space="preserve">SITE : </t>
    </r>
    <r>
      <rPr>
        <b/>
        <sz val="11"/>
        <color indexed="8"/>
        <rFont val="Calibri"/>
        <family val="2"/>
      </rPr>
      <t>Mud Bay</t>
    </r>
  </si>
  <si>
    <t>Other</t>
  </si>
  <si>
    <t>Total</t>
  </si>
  <si>
    <r>
      <t xml:space="preserve">SITE : </t>
    </r>
    <r>
      <rPr>
        <b/>
        <sz val="11"/>
        <color indexed="8"/>
        <rFont val="Calibri"/>
        <family val="2"/>
      </rPr>
      <t>Mid-Spit</t>
    </r>
  </si>
  <si>
    <r>
      <t xml:space="preserve">SITE : </t>
    </r>
    <r>
      <rPr>
        <b/>
        <sz val="11"/>
        <color indexed="8"/>
        <rFont val="Calibri"/>
        <family val="2"/>
      </rPr>
      <t>Outer Spit</t>
    </r>
  </si>
  <si>
    <r>
      <t>SITE :</t>
    </r>
    <r>
      <rPr>
        <b/>
        <sz val="11"/>
        <color indexed="8"/>
        <rFont val="Calibri"/>
        <family val="2"/>
      </rPr>
      <t xml:space="preserve"> Beluga Slough</t>
    </r>
  </si>
  <si>
    <r>
      <t xml:space="preserve">SITE : </t>
    </r>
    <r>
      <rPr>
        <b/>
        <sz val="11"/>
        <color indexed="8"/>
        <rFont val="Calibri"/>
        <family val="2"/>
      </rPr>
      <t>Islands and Islets</t>
    </r>
  </si>
  <si>
    <t xml:space="preserve"> </t>
  </si>
  <si>
    <t>Stationary Count</t>
  </si>
  <si>
    <t>Travelling Count</t>
  </si>
  <si>
    <t>Semipalmated Sandpiper</t>
  </si>
  <si>
    <r>
      <t xml:space="preserve">SITE : </t>
    </r>
    <r>
      <rPr>
        <b/>
        <sz val="11"/>
        <color indexed="8"/>
        <rFont val="Calibri"/>
        <family val="2"/>
      </rPr>
      <t>Mariner Park Lagoon</t>
    </r>
  </si>
  <si>
    <t>Mud Bay</t>
  </si>
  <si>
    <t>Mariner Park Lagoon</t>
  </si>
  <si>
    <t>Outer Spit</t>
  </si>
  <si>
    <t>Beluga Slough</t>
  </si>
  <si>
    <t>Islands and Islets</t>
  </si>
  <si>
    <t>Species</t>
  </si>
  <si>
    <t>Rock Sandpiper</t>
  </si>
  <si>
    <t>Pacific Golden Plover</t>
  </si>
  <si>
    <t>Marbled Godwit</t>
  </si>
  <si>
    <t>Black Oystercatcher</t>
  </si>
  <si>
    <t>Ruddy Turnstone</t>
  </si>
  <si>
    <t>American Golden-Plover</t>
  </si>
  <si>
    <t>Sanderling</t>
  </si>
  <si>
    <t>Dowitcher sp.</t>
  </si>
  <si>
    <t>Yellowlegs sp.</t>
  </si>
  <si>
    <t>Killdeer</t>
  </si>
  <si>
    <t>Bar-tailed Godwit</t>
  </si>
  <si>
    <t>Hudsonian Godwit</t>
  </si>
  <si>
    <t>Baird's Sandpiper</t>
  </si>
  <si>
    <t>Red Knot</t>
  </si>
  <si>
    <t>Long-billed Dowitcher</t>
  </si>
  <si>
    <t>Red Phalarope</t>
  </si>
  <si>
    <t>SITE : Homer Spit and Adjacent Waters</t>
  </si>
  <si>
    <t>Total Individuals</t>
  </si>
  <si>
    <t xml:space="preserve">     Index:</t>
  </si>
  <si>
    <t>Multiyear Data</t>
  </si>
  <si>
    <t>Sorted by average abundance</t>
  </si>
  <si>
    <t>Average</t>
  </si>
  <si>
    <t xml:space="preserve">The date cell for Homer Spit and Adjacent Waters has a comment that gives survey time, duration, and tide as well as weather conditions. </t>
  </si>
  <si>
    <t>Combined Total</t>
  </si>
  <si>
    <t xml:space="preserve">Sorted by abundance </t>
  </si>
  <si>
    <t>Sorted by abundance</t>
  </si>
  <si>
    <t>All Sites</t>
  </si>
  <si>
    <t xml:space="preserve">Total Species </t>
  </si>
  <si>
    <t xml:space="preserve"> Year:  2009</t>
  </si>
  <si>
    <t>Year: 2010</t>
  </si>
  <si>
    <t>Year: 2011</t>
  </si>
  <si>
    <t>Kachemak Bay Shorebird Monitoring Project</t>
  </si>
  <si>
    <t>Homer</t>
  </si>
  <si>
    <t>Spit</t>
  </si>
  <si>
    <t>Dowitcher spp.</t>
  </si>
  <si>
    <t>Year</t>
  </si>
  <si>
    <t>George West data sorted by year and then by species and date starting with most abundant species.  Years with few reports were left out.</t>
  </si>
  <si>
    <t>Observations from other than Mud Bay or Mariners park are noted with a comment (red tab).</t>
  </si>
  <si>
    <t>Mud Bay/Mariner Park</t>
  </si>
  <si>
    <t>Surfbird</t>
  </si>
  <si>
    <t>Black Turnstone</t>
  </si>
  <si>
    <t>Wilson's Snipe</t>
  </si>
  <si>
    <t>Mud Bay/Mariner Park/Spit</t>
  </si>
  <si>
    <t>Bristle-thighed Curlew</t>
  </si>
  <si>
    <t>Pacific Golden-Plover</t>
  </si>
  <si>
    <t>Solitary Sandpiper</t>
  </si>
  <si>
    <t>Mud Bay/Mariner Pk</t>
  </si>
  <si>
    <t>5/21/989</t>
  </si>
  <si>
    <t>Mud Bay/Mariner Pk/Spit</t>
  </si>
  <si>
    <t>Data only for dates between April 26 and may 21.</t>
  </si>
  <si>
    <t>George West Data</t>
  </si>
  <si>
    <t>Kachemak Bay Birders 2009 Shorebird Survey</t>
  </si>
  <si>
    <t xml:space="preserve">American Golden-Plover </t>
  </si>
  <si>
    <t>Kachemak Bay Birders 2010 Shorebird Survey</t>
  </si>
  <si>
    <t>Killdeer (R)</t>
  </si>
  <si>
    <t>American Golden-Plover (U)</t>
  </si>
  <si>
    <t>Pacific Golden Plover (U)</t>
  </si>
  <si>
    <t>Black Oystercatcher (U)</t>
  </si>
  <si>
    <t>Bar-tailed Godwit (U)</t>
  </si>
  <si>
    <t>Hudsonian Godwit (U)</t>
  </si>
  <si>
    <t>Marbled Godwit (U)</t>
  </si>
  <si>
    <t>Ruddy Turnstone (U)</t>
  </si>
  <si>
    <t>Sanderling (U)</t>
  </si>
  <si>
    <t>Rock Sandpiper (U)</t>
  </si>
  <si>
    <t>Baird's Sandpiper (R)</t>
  </si>
  <si>
    <t>Red Knot (U)</t>
  </si>
  <si>
    <t>Long-billed Dowitcher (U)</t>
  </si>
  <si>
    <t>Red Phalarope (R)</t>
  </si>
  <si>
    <r>
      <t xml:space="preserve">SITE : </t>
    </r>
    <r>
      <rPr>
        <b/>
        <sz val="11"/>
        <color indexed="8"/>
        <rFont val="Calibri"/>
        <family val="2"/>
      </rPr>
      <t>Kachemak Bay Summary (all sites)</t>
    </r>
  </si>
  <si>
    <t>Kachemak Bay Shorebird Monitoring Project Data for Dates Matching West Data</t>
  </si>
  <si>
    <r>
      <t xml:space="preserve">SITE : </t>
    </r>
    <r>
      <rPr>
        <b/>
        <sz val="11"/>
        <color indexed="8"/>
        <rFont val="Calibri"/>
        <family val="2"/>
      </rPr>
      <t xml:space="preserve">Only Four </t>
    </r>
    <r>
      <rPr>
        <b/>
        <sz val="11"/>
        <color indexed="8"/>
        <rFont val="Calibri"/>
        <family val="2"/>
      </rPr>
      <t>Homer Spit Sites</t>
    </r>
  </si>
  <si>
    <t xml:space="preserve">Kachemak </t>
  </si>
  <si>
    <t>Bay</t>
  </si>
  <si>
    <t>SITE : Kachemak Bay Summary (all sites)</t>
  </si>
  <si>
    <t>SITE : Homer Spit (Four Sites) for Comparison With West Data</t>
  </si>
  <si>
    <t>SITE : Homer Spit (all 4 sites)</t>
  </si>
  <si>
    <t>Kachemak Bay Birders 2011 Shorebird Survey</t>
  </si>
  <si>
    <t>Spit Sites</t>
  </si>
  <si>
    <t>Summary of George West Data</t>
  </si>
  <si>
    <t>George West Data Used for Comparison;  Based on Every Fifth Day.</t>
  </si>
  <si>
    <t>Total Individual birds</t>
  </si>
  <si>
    <t>Total Species</t>
  </si>
  <si>
    <t># of species</t>
  </si>
  <si>
    <t>West report</t>
  </si>
  <si>
    <t>West Average</t>
  </si>
  <si>
    <t>KBB Average</t>
  </si>
  <si>
    <t>Total counts for all six sites.</t>
  </si>
  <si>
    <t>Year: 2012</t>
  </si>
  <si>
    <t>Homer Spit</t>
  </si>
  <si>
    <t>Beluga</t>
  </si>
  <si>
    <t xml:space="preserve">Islands </t>
  </si>
  <si>
    <t>Sites</t>
  </si>
  <si>
    <t>Slough</t>
  </si>
  <si>
    <t>&amp; Islets</t>
  </si>
  <si>
    <t>Kachemak Bay Birders 2012 Shorebird Survey</t>
  </si>
  <si>
    <t>West's Count Data</t>
  </si>
  <si>
    <t>KBB Count Data</t>
  </si>
  <si>
    <t>Incidents of disturbance are described as comments within the table for the respective date.</t>
  </si>
  <si>
    <t>SITE : Anchor River</t>
  </si>
  <si>
    <t>The date cell for each site spreadsheet has a comment that lists monitors for that site and date.</t>
  </si>
  <si>
    <t>Other;  Plover sp.</t>
  </si>
  <si>
    <t>#</t>
  </si>
  <si>
    <t>Comparing counts for all sites</t>
  </si>
  <si>
    <t>Combined Totals for Six Sites</t>
  </si>
  <si>
    <t>Totals</t>
  </si>
  <si>
    <t xml:space="preserve">Killdeer </t>
  </si>
  <si>
    <t xml:space="preserve">LESA/WESA/SESA </t>
  </si>
  <si>
    <t>Data from the Anchor River and Kasilof River</t>
  </si>
  <si>
    <t>SITE : Kasilof  River</t>
  </si>
  <si>
    <t xml:space="preserve">     Sheet 1 - Homer Spit area shorebird observations based on protocol</t>
  </si>
  <si>
    <t xml:space="preserve">Deleted from tables below are species not seen and comments. </t>
  </si>
  <si>
    <t>Other;  Bristle-thighed Curlew</t>
  </si>
  <si>
    <t xml:space="preserve">Sorted according to All Sites abundance. </t>
  </si>
  <si>
    <t>SITE : Kasilof River</t>
  </si>
  <si>
    <t>Year: 2013</t>
  </si>
  <si>
    <t>All Homer Spit area Sites</t>
  </si>
  <si>
    <t>Kachemak Bay Birders 2013 Shorebird Survey</t>
  </si>
  <si>
    <t>2014 Shorebird Monitoring Project</t>
  </si>
  <si>
    <t>The site cell for each spreadsheet includes a comment (red flag) that has a  description of the site.</t>
  </si>
  <si>
    <t>Year: 2014</t>
  </si>
  <si>
    <t>2013 Shorebird Monitoring Project</t>
  </si>
  <si>
    <t xml:space="preserve">To avoid double counting with flocks of shorebirds that may have left nearby Homer Spit, monitoring at the Anchor River followed the </t>
  </si>
  <si>
    <t xml:space="preserve">same protocol as used at the Homer Spit. </t>
  </si>
  <si>
    <t>Plover sp.</t>
  </si>
  <si>
    <t xml:space="preserve">Monitoring at the Kasilof River followed a different protocol.  There were also nine monitoring dates, but not with equal intervals.  </t>
  </si>
  <si>
    <t xml:space="preserve">Due to limited visibility at high tide, monitoring began as the rising tide reached the half-way point between high and low tides. </t>
  </si>
  <si>
    <t>`</t>
  </si>
  <si>
    <t>2015 Shorebird Monitoring Project</t>
  </si>
  <si>
    <t>Tide data is taken from the Seldovia tide tables.</t>
  </si>
  <si>
    <t>Weather data is based on NOAA Homer Airport reports (http://w1.weather.gov/obhistory/PAHO.html)</t>
  </si>
  <si>
    <t>Mid-Spit</t>
  </si>
  <si>
    <t>LB = Laura Burke</t>
  </si>
  <si>
    <t>TB = Toby Burke</t>
  </si>
  <si>
    <t xml:space="preserve">Deleted from table below are species not seen and comments. </t>
  </si>
  <si>
    <t>Year: 2015</t>
  </si>
  <si>
    <t>West's data for 1987 and 1988 was not sufficient enough to include in this comparison.</t>
  </si>
  <si>
    <t>West's data for 1987 and 1988 was not sufficient to include in this comparison.</t>
  </si>
  <si>
    <t>Data from West's monitoring is based on five day intervals starting from April 26 from 1986-1994.</t>
  </si>
  <si>
    <t>2016 Shorebird Monitoring Project</t>
  </si>
  <si>
    <t>Year: 2016</t>
  </si>
  <si>
    <t>SITE : Homer Spit Sites</t>
  </si>
  <si>
    <t>Multiyear Data for Anchor River and Kasilof River</t>
  </si>
  <si>
    <t>Greater/Lesser Yellowlegs</t>
  </si>
  <si>
    <t>Short-billed/Long-billed Dowitcher</t>
  </si>
  <si>
    <t>2017 Shorebird Monitoring Project</t>
  </si>
  <si>
    <t>2017  Shorebird Monitoring Project</t>
  </si>
  <si>
    <t xml:space="preserve">     Sheet 2 - Anchor and Kasilof Rivers shorebird observations based on protocol.</t>
  </si>
  <si>
    <t>Year: 2017</t>
  </si>
  <si>
    <t>Avr.</t>
  </si>
  <si>
    <t>Supplemental Data</t>
  </si>
  <si>
    <t>LESA/WESA/SESA (ie, peeps)</t>
  </si>
  <si>
    <t>Total Shorebirds</t>
  </si>
  <si>
    <t>Total Shorebirds wo DUNL &amp; peeps</t>
  </si>
  <si>
    <t xml:space="preserve">Total DUNL &amp; peeps </t>
  </si>
  <si>
    <t>Monitoring Data wo DUNL &amp; peeps</t>
  </si>
  <si>
    <t>Monitoring Data for DUNL &amp; peep</t>
  </si>
  <si>
    <t>Total wo DUNL &amp; peeps</t>
  </si>
  <si>
    <t>Total for DUNL &amp; peeps</t>
  </si>
  <si>
    <t>2018 Shorebird Monitoring Project</t>
  </si>
  <si>
    <t>2018  Shorebird Monitoring Project</t>
  </si>
  <si>
    <t>SITE:  Seldovia Bay</t>
  </si>
  <si>
    <t>To minimize double counting with flocks of shorebirds that may have just left Homer Spit, monitoring at the Anchor River was done</t>
  </si>
  <si>
    <t>at the same time as Homer Spit monitoring.</t>
  </si>
  <si>
    <t>begins as the rising tide reaches the half-way point between high and low tide.</t>
  </si>
  <si>
    <t>Monitoring at the Kasilof River follows a slightly different protocol than Homer Spit.  Due to limited visibility at high tide, monitoring</t>
  </si>
  <si>
    <t xml:space="preserve">In addition to nine monitoring days at five day intervals, this data includes two extra days (May 7&amp; 8).  This provides supplementary </t>
  </si>
  <si>
    <t xml:space="preserve">data and a better estimate of the shorebirds that stopped-over during migration. </t>
  </si>
  <si>
    <t>CV = Chet Vincent</t>
  </si>
  <si>
    <t xml:space="preserve">All duplicate observations between sites were resolved before reports were written.  Combined site totals subtract out duplicate counts.    </t>
  </si>
  <si>
    <t>Year: 2018</t>
  </si>
  <si>
    <t>Kachemak Bay Birders 2014 Shorebird Survey</t>
  </si>
  <si>
    <t>Kachemak Bay Birders 2015 Shorebird Survey</t>
  </si>
  <si>
    <t>Kachemak Bay Birders 2016 Shorebird Survey</t>
  </si>
  <si>
    <t>Kachemak Bay Birders 2017 Shorebird Survey</t>
  </si>
  <si>
    <t>Kachemak Bay Birders 2018 Shorebird Survey</t>
  </si>
  <si>
    <t>The base date for KBB monitoring is the Monday after the shorebird festival and then adding or subtracting 5 days from that date.</t>
  </si>
  <si>
    <t>Comparison of West Shorebird Data (1986-1994) to Kachemak Bay Birders Data (2009-2018 for all Kachemak Bay sites</t>
  </si>
  <si>
    <t xml:space="preserve">   3. Observations that gave X as a count were deleted.</t>
  </si>
  <si>
    <t>Semipalmated/Western Sandpiper</t>
  </si>
  <si>
    <t>Kachemak Bay Sites</t>
  </si>
  <si>
    <t>Total Kachemak Bay Shorebird Counts</t>
  </si>
  <si>
    <t>Monitoring Data</t>
  </si>
  <si>
    <t>2019 Shorebird Monitoring Project</t>
  </si>
  <si>
    <t>2019 Shorebird Monitoring Results for Homer Spit Sites Based on Protocol</t>
  </si>
  <si>
    <t xml:space="preserve">Below are the 2019 Kachemak Bay Birders counts for shorebirds that migrated through the Homer Spit area between April 13 and May 23. </t>
  </si>
  <si>
    <t>2019  Shorebird Monitoring Project</t>
  </si>
  <si>
    <t xml:space="preserve">This is the seventh year of monitoring the spring shorebird migration at the Anchor River and the Kasilof River.  </t>
  </si>
  <si>
    <t>2019 SPRING - KASILOF RIVER MOUTH SHOREBIRD SURVEY</t>
  </si>
  <si>
    <t>SURVEY TIMES BASED ON INTERTIDAL MUDFLATS BEING COMPLETELY COVERED BY THE INCOMING TIDE AT +13.0 FEET AT CAPE KASILOF</t>
  </si>
  <si>
    <t>Date</t>
  </si>
  <si>
    <t>Time (24 HR)</t>
  </si>
  <si>
    <t>0715-0845</t>
  </si>
  <si>
    <t>1245-1415</t>
  </si>
  <si>
    <t>1645-1815</t>
  </si>
  <si>
    <t>1000-1130</t>
  </si>
  <si>
    <t>1250-1420</t>
  </si>
  <si>
    <t>1610-1740</t>
  </si>
  <si>
    <t>1810-1940</t>
  </si>
  <si>
    <t>1010-1140</t>
  </si>
  <si>
    <t>1320-1450</t>
  </si>
  <si>
    <t>1615-1745</t>
  </si>
  <si>
    <t>Observers</t>
  </si>
  <si>
    <t>LB</t>
  </si>
  <si>
    <t>LB, TB</t>
  </si>
  <si>
    <t>LB, CV</t>
  </si>
  <si>
    <t>NO SHOREBIRDS OBSERVED</t>
  </si>
  <si>
    <t>Observers:</t>
  </si>
  <si>
    <t>SITE : Islands and Islets</t>
  </si>
  <si>
    <t>Deleted from the table below are species not seen.  Also, the data for May 10 is supplemental and not included.</t>
  </si>
  <si>
    <t>Sorted by abundance.  Includes supplemental data.</t>
  </si>
  <si>
    <t>Sorted by abundance.  Doesn't include supplemental data.</t>
  </si>
  <si>
    <t>Deleted from the table below are species not seen .  Note that there are 10 days of monitoring with May 10 being considered as supplemental.</t>
  </si>
  <si>
    <t>The Homer Spit and Adjacent Waters table provides a summation for all six monitoring sites.  A new site, upper Seldovia Bay, is separate.</t>
  </si>
  <si>
    <t>Year: 2019</t>
  </si>
  <si>
    <t>2009-2019 Kachemak Bay Shorebird Count</t>
  </si>
  <si>
    <t>Summary from 2013-2019</t>
  </si>
  <si>
    <t>Ratio</t>
  </si>
  <si>
    <t>2019 Supplemental Data Charts</t>
  </si>
  <si>
    <t>2019 Supplemental Database</t>
  </si>
  <si>
    <t>Credit:  eBird Basic Dataset. Version: EBD_relSep-2019. Cornell Lab of Ornithology, Ithaca, New York. Sep 2019.</t>
  </si>
  <si>
    <t>The original database included all eBird entries from the Kenai Peninsula Borough from April-May, 2019.  This data was reduced to include only;</t>
  </si>
  <si>
    <t xml:space="preserve">   1. Shorebird observations from areas where we monitored shorebirds this year. This includes several Kachemak Bay sites, Anchor River, and Kasilof River.</t>
  </si>
  <si>
    <t>COMMON NAME</t>
  </si>
  <si>
    <t>COUNT</t>
  </si>
  <si>
    <t>ADJ. COUNT</t>
  </si>
  <si>
    <t>LOCALITY</t>
  </si>
  <si>
    <t>DATE</t>
  </si>
  <si>
    <t>TIME</t>
  </si>
  <si>
    <t># OBSERVERS</t>
  </si>
  <si>
    <t>TRIP COMMENTS</t>
  </si>
  <si>
    <t>SPECIES COMMENTS</t>
  </si>
  <si>
    <t>Homer--Beluga Slough &amp; Bishops Beach</t>
  </si>
  <si>
    <t>This is the 8th session of this years Kachemak Bay Shorebird Monitoring Project.</t>
  </si>
  <si>
    <t>ADJ. COUNT TOTAL</t>
  </si>
  <si>
    <t>Peterson Bay Field Station</t>
  </si>
  <si>
    <t>AK,, Kachemak Bay, s side</t>
  </si>
  <si>
    <t>On a birding boat with Naturalist at the Homer Shorebird Festival</t>
  </si>
  <si>
    <t>Seldovia--Outside Beach, Campground, &amp; RV Park</t>
  </si>
  <si>
    <t>Kachemak Bay--Cohen Is./ 60' Rk / Lancashire Rks</t>
  </si>
  <si>
    <t>This is the 4th session of this years Kachemak Bay Shorebird Monitoring Project.</t>
  </si>
  <si>
    <t>This is the 6th session of this years Kachemak Bay Shorebird Monitoring Project.</t>
  </si>
  <si>
    <t>Kachemak Bay--Gull Island</t>
  </si>
  <si>
    <t>Kachemak Bay--Homer Spit to Dangerous Cape</t>
  </si>
  <si>
    <t>With Karl (Bay Excursions)</t>
  </si>
  <si>
    <t>US-AK-Kachemak Bay (59.5834,-151.3329)</t>
  </si>
  <si>
    <t xml:space="preserve">On mudflats. Occasionally 3-4 very short ‘flight’ move to another nearby spot within the group. Then, 10-12 minutes pass, entire flick takes to air 5-6 ft off mudflats - moves back &amp; forth, settles back down in roughly very elongated semi circle or 10 ish bird deep long line - eating their way across the mudflats.    </t>
  </si>
  <si>
    <t>US-AK-Kachemak Bay (59.6102,-151.4166)</t>
  </si>
  <si>
    <t>Did not count gulls and kittiwakes.</t>
  </si>
  <si>
    <t>Kachemak Bay--Glacier Spit</t>
  </si>
  <si>
    <t>partly cloudy (49 degrees F)</t>
  </si>
  <si>
    <t>Peterson Bay (SW end Kachemak Bay)</t>
  </si>
  <si>
    <t>Kachemak Bay (SW of Homer Spit)</t>
  </si>
  <si>
    <t>Eiders and Otters boat in the upper bay</t>
  </si>
  <si>
    <t>Eiders and Otters boat tour.</t>
  </si>
  <si>
    <t>3501 FAA Rd, Homer US-AK (59.6445,-151.4927)</t>
  </si>
  <si>
    <t>China Poot Bay</t>
  </si>
  <si>
    <t>Homer--Beluga Lake-east end &amp; overlook</t>
  </si>
  <si>
    <t>Lynx look at Aaron’s Lang’s list</t>
  </si>
  <si>
    <t>This is the 7th session of this years Kachemak Bay Shorebird Festival.</t>
  </si>
  <si>
    <t>Seldovia (town)</t>
  </si>
  <si>
    <t>8th session of this years Kachemak Bay Shorebird Monitoring Project.</t>
  </si>
  <si>
    <t>Seldovia--Otterbahn Trail</t>
  </si>
  <si>
    <t>Homer--off Bluff Point-pelagic</t>
  </si>
  <si>
    <t>This is the ninth and last session for this years Kachemak Bay Shorebird Monitoring Project</t>
  </si>
  <si>
    <t>US-AK-Kachemak Bay (59.5878,-151.3336)</t>
  </si>
  <si>
    <t xml:space="preserve">Heard winnowing </t>
  </si>
  <si>
    <t>Homer Spit--Boat Harbor</t>
  </si>
  <si>
    <t>A Birding cruise during the Homer Shorebird festival.  Had a Naturalist on board with us</t>
  </si>
  <si>
    <t>4667 Freight Dock Rd, Homer US-AK (59.6048,-151.4171)</t>
  </si>
  <si>
    <t>Homer Spit--Mud Bay</t>
  </si>
  <si>
    <t>Louie's Lagoon</t>
  </si>
  <si>
    <t>Homer Spit--Mid-Spit (Green Timbers &amp; Louie's Lagoon)</t>
  </si>
  <si>
    <t>This is the 5th session of this years Kachemak Bay Shorebird Monitoring Project.</t>
  </si>
  <si>
    <t>Harbor entrance</t>
  </si>
  <si>
    <t>Homer Spit--Boat Harbor entrance</t>
  </si>
  <si>
    <t>Homer Spit--Fishing Hole</t>
  </si>
  <si>
    <t>Kachemak Bay Shorebird Monitoring</t>
  </si>
  <si>
    <t>Homer Spit--Louie's Lagoon</t>
  </si>
  <si>
    <t>Homer Spit--Outer Spit (Fishing Hole to Lands End)</t>
  </si>
  <si>
    <t>Kachemak Bay (NE of Homer Spit)</t>
  </si>
  <si>
    <t>Boat tour from the harbor to Gull Island and north east</t>
  </si>
  <si>
    <t>3300 Beluga Place, Homer, Alaska, US (59.637, -151.534)</t>
  </si>
  <si>
    <t>This was the big busy day for the bird festival. We took one of the boat tours.  Our first choice got cancelled but we took the upper/inner Katchamak Bay tour, which is a first for us.  Now we can say we have taken all three @least once.  Good birds with even a lifer for me and weather cooperated also.  Our next event was Critters of the Harbor.  Always fascinating to me.  Capping it all off was the Keynote speaker discussing the genius of birds.</t>
  </si>
  <si>
    <t>High tide light wind and rain</t>
  </si>
  <si>
    <t>Homer US-AK (59.6393,-151.5461)</t>
  </si>
  <si>
    <t>Beginning shorebird walk</t>
  </si>
  <si>
    <t>Confirmed</t>
  </si>
  <si>
    <t>Kachemak Shorebird Festival - Intro to Shorebirds</t>
  </si>
  <si>
    <t>Kachemak Bay Shorebird Festival -- Upper Kach boat trip led by Conrad</t>
  </si>
  <si>
    <t>3 x flocks - murmuration?</t>
  </si>
  <si>
    <t>US-AK-Kachemak Bay (59.6068,-151.4099)</t>
  </si>
  <si>
    <t>South Kachemak Bay, including Glacier Spit. A number of ducks hugging shoreline were too distant to identify</t>
  </si>
  <si>
    <t>Homer Spit--Mariner Park Lagoon</t>
  </si>
  <si>
    <t>45° F cloudy 15 mph wind</t>
  </si>
  <si>
    <t>west side of the spit</t>
  </si>
  <si>
    <t xml:space="preserve">Driving down the spit and saw BRANT and pulled over. Incoming low tide mid spit in rocky area. Scoped from the road. </t>
  </si>
  <si>
    <t>Shorebird survey. Seen in GreenTimbers: 2 black-bellied plovers, 1 dowitcher, hear 1 song sparrow.(not counted in this list)</t>
  </si>
  <si>
    <t>This is the 7th session of this years Kachemak Bay Shorebird Monitoring Project.  This site had two teams to covr the area withn two hours.</t>
  </si>
  <si>
    <t>Homer Spit--Freight Dock Rd &amp; Overlooks</t>
  </si>
  <si>
    <t>Kachemak Shorebird Monitoring Project</t>
  </si>
  <si>
    <t xml:space="preserve">Louie's Lagoon route for shorebird monitoring. </t>
  </si>
  <si>
    <t>Session #1 of this years Kachemak Bay Shorebird Monitoring Project.  Some disturbance with dogs not on a leash.</t>
  </si>
  <si>
    <t>Louie's Lagoon route for shorebird monitoring.</t>
  </si>
  <si>
    <t>Session #2 of this years Kachemak Bay Shorebird Monitoring Project</t>
  </si>
  <si>
    <t>811 Ocean Drive Loop, Homer, AK</t>
  </si>
  <si>
    <t xml:space="preserve">Numbers diminishing </t>
  </si>
  <si>
    <t>Session #3 of this years Kachemak Bay Shorebird Monitoring Project.  This site had two teams</t>
  </si>
  <si>
    <t>FOS</t>
  </si>
  <si>
    <t>Session #3 of this years Kachemak Bay Shorebird Monitoring Project</t>
  </si>
  <si>
    <t>McDonald's Beach</t>
  </si>
  <si>
    <t>Lowtide chestwader birding sunny 50 degrees</t>
  </si>
  <si>
    <t>Winnowing.</t>
  </si>
  <si>
    <t>Checked Mud Bay, Mariner Lagoon, and the harbor.</t>
  </si>
  <si>
    <t>99 Homer Spit Road, Homer, Alaska, US (59.634, -151.493)</t>
  </si>
  <si>
    <t>--</t>
  </si>
  <si>
    <t>233 East Bunnell Avenue, Homer, Alaska, US (59.639, -151.54)</t>
  </si>
  <si>
    <t>3079 Homer Spit Road, Homer, Alaska, US (59.629, -151.474)</t>
  </si>
  <si>
    <t>American Golden Plover</t>
  </si>
  <si>
    <t>P</t>
  </si>
  <si>
    <t>US-AK-Homer-3152-4200 AK-1</t>
  </si>
  <si>
    <t>43° F, cloudy with light rain, 5 to 10 mph wind.</t>
  </si>
  <si>
    <t>Shorebird festival High tide light rain and wind</t>
  </si>
  <si>
    <t>I think/adv Shorebird walk led by George</t>
  </si>
  <si>
    <t>Shorebird Festival trip.</t>
  </si>
  <si>
    <t xml:space="preserve">Windy. Rainy. 43F. </t>
  </si>
  <si>
    <t>This was on a birding boat in Kachemak Bay, They were seen a number of times in groups</t>
  </si>
  <si>
    <t>2664 Homer Spit Road, Homer, Alaska, US (59.627, -151.472)</t>
  </si>
  <si>
    <t>Homer Spit--Mariner Park Campground</t>
  </si>
  <si>
    <t>This is the 7th session of the Kachemak Bay Shorebird Monitoring Project.</t>
  </si>
  <si>
    <t>Winnowing in the dark nearby</t>
  </si>
  <si>
    <t>128 E Bunnell Ave, Homer US-AK (59.6399,-151.5434)</t>
  </si>
  <si>
    <t>Homer Spit--Lands End</t>
  </si>
  <si>
    <t>Mud Bay -1788–1922 Homer Spit Rd, Homer US-AK (59.6332,-151.4952)</t>
  </si>
  <si>
    <t>In Mud Bay about  an hour  past high tide. Large godwit, uniform warm tones, and long bicolored bill.</t>
  </si>
  <si>
    <t>1788–1922 Homer Spit Rd, Homer US-AK (59.6355,-151.4979) MUD BAY</t>
  </si>
  <si>
    <t xml:space="preserve">Blustery. Looked thru scope. </t>
  </si>
  <si>
    <t>Homer--Alaska Islands &amp; Oceans Visitor Center &amp; Trails</t>
  </si>
  <si>
    <t xml:space="preserve">Estimate </t>
  </si>
  <si>
    <t>3720 Faa Road, Homer, Alaska, US (59.645, -151.491)</t>
  </si>
  <si>
    <t>2472–2590 Homer Spit Rd, Homer US-AK (59.6264,-151.4758)</t>
  </si>
  <si>
    <t>3664 Ben Walters Lane, Homer, Alaska, US (59.643, -151.522)</t>
  </si>
  <si>
    <t>flew over Mud Bay 7:45 am</t>
  </si>
  <si>
    <t>one seen winnowing</t>
  </si>
  <si>
    <t xml:space="preserve">Shorebird Festival Beluga Lake viewing platform.  Aaron Lange guide </t>
  </si>
  <si>
    <t>90 Sterling Highway, Homer, Alaska, US (59.643, -151.535)</t>
  </si>
  <si>
    <t>Phone went dead midway through birding. I lost the second half of the tracking and am uncertain if I may have seen some additional birds at the end</t>
  </si>
  <si>
    <t>On Green Timbers side</t>
  </si>
  <si>
    <t>Peep migration starting to heat up a little</t>
  </si>
  <si>
    <t>Gull Island (8) and a very small rocky ‘island’</t>
  </si>
  <si>
    <t>In the harbor</t>
  </si>
  <si>
    <t>46°F, cloudy, light wind.</t>
  </si>
  <si>
    <t>ROSA numbers on decline with early spring</t>
  </si>
  <si>
    <t xml:space="preserve">Last place w hotspots group </t>
  </si>
  <si>
    <t>partly sunny (40 degrees F)</t>
  </si>
  <si>
    <t>1682 Homer Spit Road, Homer, Alaska, US (59.635, -151.498)</t>
  </si>
  <si>
    <t>Homer (town)</t>
  </si>
  <si>
    <t>General birding around Homer.  Also, saw a lynx from Beluga overlook platform.  Aaron Lang’s birding group saw it too.</t>
  </si>
  <si>
    <t>Homer- Beluga Slough</t>
  </si>
  <si>
    <t>Flew by us at Louie's Lagoon and landed  at Green Timbers.</t>
  </si>
  <si>
    <t>The Lighthouse volunteer crew is my fave!</t>
  </si>
  <si>
    <t>Low tide.</t>
  </si>
  <si>
    <t>Friendship beach Mother’s Day trip. Hiked from right beach, rusty lagoon down glacier spit. Saw one black bear!</t>
  </si>
  <si>
    <t>Woodland birds were from Lighthouse Village at the base of Spit.</t>
  </si>
  <si>
    <t>This is the seventh session of this years Kachemak Bay Shorebird Monitoring Project.</t>
  </si>
  <si>
    <t>This is the 7th session of the Kachemak Bay Shorebird Festival</t>
  </si>
  <si>
    <t>with Thomas Cappiello</t>
  </si>
  <si>
    <t>On birding boat and saw a number of groups of surfbirds at the Homer Shorebird Festival</t>
  </si>
  <si>
    <t>Kachemak Bay Shorebird survey - Louie Lagoon--Kristine Sowl-Gary Lyon-Carol Harding-Louie Dupre-Chuck Jay-Robin Edwards-Hal Smith</t>
  </si>
  <si>
    <t>This is session #8 of this years Kachemak Bay Shorebird Festival. This report includes the combined observations of two teams that covered the mid-Spit.</t>
  </si>
  <si>
    <t>(59.6399,-151.5784)</t>
  </si>
  <si>
    <t>godwit sp.</t>
  </si>
  <si>
    <t>Kids scared all the shorebirds away</t>
  </si>
  <si>
    <t>3356 Beluga Place, Homer, Alaska, US (59.64, -151.538)</t>
  </si>
  <si>
    <t xml:space="preserve">Surprising to see big group clustered together, hanging out by ferry terminal </t>
  </si>
  <si>
    <t>Homer--Beluga Lake Lodge</t>
  </si>
  <si>
    <t>Homer--Beluga Slough Dam</t>
  </si>
  <si>
    <t>Otterbahn &amp; Sandy Beach.</t>
  </si>
  <si>
    <t>3501 FAA Rd, Homer US-AK (59.6453,-151.4913)</t>
  </si>
  <si>
    <t>Still a thin layer of overnight ice in places</t>
  </si>
  <si>
    <t>Most of the waterfowl were seen at the Slough Lagoon.</t>
  </si>
  <si>
    <t>Most of the birding was done on the split but we also visited Beluga Lake and Slough.  Most of the waterfowl were seen at these locations.</t>
  </si>
  <si>
    <t>3351 Homer Spit Road, Homer, Alaska, US (59.61, -151.441)</t>
  </si>
  <si>
    <t>Seldovia Bay &amp; Seldovia River Estuary</t>
  </si>
  <si>
    <t>Kachemak Shorebird monitoring session #4.</t>
  </si>
  <si>
    <t>Homer--Lampert Lake</t>
  </si>
  <si>
    <t>Homer--Beluga Lake</t>
  </si>
  <si>
    <t>An evening walk along the Slough to the Lagoon.</t>
  </si>
  <si>
    <t>Kachemak Bay Shorebird monitoring session #5</t>
  </si>
  <si>
    <t>Homer--Beluga Slough</t>
  </si>
  <si>
    <t>Homer--Diamond Creek Gulch</t>
  </si>
  <si>
    <t>Lowtide birding with Charlie 3 river otters in the creek. Lots of dog walkers. light wind and rain not many birds for the area covered. Shorebirds lacking....</t>
  </si>
  <si>
    <t>Cannot see all of the ducks sleeping in vegetation so counts are minimums. Frogs calling. Two moose.</t>
  </si>
  <si>
    <t>3501 FAA Rd, Homer US-AK (59.6452,-151.4913)</t>
  </si>
  <si>
    <t xml:space="preserve">Girdwood couple let me view white fronted geese in their scope - all-Hunkered down. Lots more birds - today away for me to get positive ID  Easier to ID when flying in or out </t>
  </si>
  <si>
    <t>3575 Heath St, Homer US-AK (59.6397,-151.5365)</t>
  </si>
  <si>
    <t>With Anchor Point Dad , Paul &amp; 10 year old daughter, Ally 😊</t>
  </si>
  <si>
    <t>3859 Arctic Tern Place, Homer, Alaska, US (59.649, -151.459)</t>
  </si>
  <si>
    <t>Beluga Lake crossing Homer, Alaska, US (59.641, -151.522)</t>
  </si>
  <si>
    <t>Kachemak Bay shorebird monitoring session #6.</t>
  </si>
  <si>
    <t>1663 Homer Spit Rd, Homer US-AK (59.6375,-151.5026)</t>
  </si>
  <si>
    <t>Various birders came and went</t>
  </si>
  <si>
    <t>cloudy (55 degrees F)</t>
  </si>
  <si>
    <t>95 Sterling Highway, Homer, Alaska, US (59.641, -151.54)</t>
  </si>
  <si>
    <t>Kachemak Bay bird festival</t>
  </si>
  <si>
    <t>partly sunny (42 degrees F)</t>
  </si>
  <si>
    <t>Some of these may have also flown over to other sites</t>
  </si>
  <si>
    <t>Also seen at other sites</t>
  </si>
  <si>
    <t>Includes birds by Ben Walters Park, midlake by the Brewery, and east end overlook</t>
  </si>
  <si>
    <t>Lynx walk across marsh. On viewing platform with other birders but only recorded what I saw.</t>
  </si>
  <si>
    <t xml:space="preserve">Lower platform </t>
  </si>
  <si>
    <t>44°F, mostly cloudy, light wind.</t>
  </si>
  <si>
    <t>east end and by brewery</t>
  </si>
  <si>
    <t>Homer--Calvin and Coyle Nature Trail</t>
  </si>
  <si>
    <t>Kachemak Bay Shorebird monitoring session #7.</t>
  </si>
  <si>
    <t>3859 Arctic Tern Place, Homer, Alaska, US (59.648, -151.459)</t>
  </si>
  <si>
    <t>Yard-Buoy Avenue</t>
  </si>
  <si>
    <t>Homer--Eagle Lake</t>
  </si>
  <si>
    <t xml:space="preserve">Bald </t>
  </si>
  <si>
    <t>Many swallows foraging</t>
  </si>
  <si>
    <t>This is the ninth and last session for this years Kachemak Bay Shorebird Monitoring Project.  Disturbance from loose dogs.</t>
  </si>
  <si>
    <t>Also seen at other sites.</t>
  </si>
  <si>
    <t>fly over</t>
  </si>
  <si>
    <t>1663 Homer Spit Rd, Homer US-AK (59.6373,-151.5026) LIGHTHOUSE</t>
  </si>
  <si>
    <t>5 scopes - YEAH</t>
  </si>
  <si>
    <t xml:space="preserve">Super windy possibly a semipalmated sandpiper. Look in photos for a slightly darker and chubbier body. One was supposededly identified, but all the sandpipers looked the same to me. After research, these species look very similar. </t>
  </si>
  <si>
    <t xml:space="preserve">Super gusty. Drizzle. </t>
  </si>
  <si>
    <t>See photos</t>
  </si>
  <si>
    <t>200 ?</t>
  </si>
  <si>
    <t>This is not a high count at this time.</t>
  </si>
  <si>
    <t xml:space="preserve">18 near Green Timbers </t>
  </si>
  <si>
    <t>Previously reported</t>
  </si>
  <si>
    <t>Also seen at Mud Bay</t>
  </si>
  <si>
    <t>This is the 7th year of this years Kachemak Bay Shorebird Festival,</t>
  </si>
  <si>
    <t>Homer-Bridge Creek Reservoir</t>
  </si>
  <si>
    <t>Approximately half of reservoir still frozen.</t>
  </si>
  <si>
    <t>1663 Homer Spit Road, Homer, Alaska, US (59.637, -151.503)</t>
  </si>
  <si>
    <t>Kachemak Bay Shorebird survey - Louie Lagoon-Gary Lyon -Kristine Sowl-Carol Harding -Louie Dupree</t>
  </si>
  <si>
    <t>Photos by Robin Edwards</t>
  </si>
  <si>
    <t>Early, but otherwise common</t>
  </si>
  <si>
    <t xml:space="preserve">Long decurved bill </t>
  </si>
  <si>
    <t xml:space="preserve">Overcast. Wind has calmed down. No rain. </t>
  </si>
  <si>
    <t xml:space="preserve">Rainy. Breezy. Quick stop before spit. </t>
  </si>
  <si>
    <t>Est.</t>
  </si>
  <si>
    <t>Mostly flying.</t>
  </si>
  <si>
    <t>Unclear mix</t>
  </si>
  <si>
    <t>cloudy and breezy (49 degrees F)</t>
  </si>
  <si>
    <t>Fly over calling pair</t>
  </si>
  <si>
    <t>Good close looks at scapulars</t>
  </si>
  <si>
    <t>3500 Crittenden Dr, Homer US-AK (59.6393,-151.5552)</t>
  </si>
  <si>
    <t>3080 Homer Spit Road, Homer, Alaska, US (59.622, -151.461)</t>
  </si>
  <si>
    <t>48 degrees F, 5-10 mph wind, cloudy.</t>
  </si>
  <si>
    <t>Kachemak Bay Shorebird Festival tour.</t>
  </si>
  <si>
    <t>Group calling and good views</t>
  </si>
  <si>
    <t>Hundreds!</t>
  </si>
  <si>
    <t>peep sp.</t>
  </si>
  <si>
    <t>A large flock stoppedby for a meal on their way north, could have been 10,000 or 50,000 birds</t>
  </si>
  <si>
    <t xml:space="preserve">Overland Park Hike leader Laurie Daniel, co ldr, Nancy,Kachemak Bay Conservation </t>
  </si>
  <si>
    <t>Kachemak Bay Shorebird Project</t>
  </si>
  <si>
    <t>Kachemak Bay--Homer to Seldovia ferry route</t>
  </si>
  <si>
    <t xml:space="preserve">Kachemak Bay Shorebird Festival, Seldovia Nature  Tour and Art Studio Visit led by Naturalist Guide Cindy Mom. Round trip ferry ride on the Beowulf operated by Captain Tom Hopkins of Red Mountain Marine. </t>
  </si>
  <si>
    <t>US-AK-Kachemak Bay (59.5080,-151.5291)</t>
  </si>
  <si>
    <t xml:space="preserve">True North Kayak - Hesketh to Yukon Island. With Bonnie, Kelsey, Kyla, Mary Jane &amp; Paul </t>
  </si>
  <si>
    <t>3789 Homer Spit Road, Homer, Alaska, US (59.609, -151.435)</t>
  </si>
  <si>
    <t>‘Wise and Wonderful’ boat tour from Homer Spit to Gull Island and Peterson Bay (part of Kachemak Bay shorebird festival)</t>
  </si>
  <si>
    <t>Upper Kach Bay  boat trip -- Kachemak Bay Shorebird Festival</t>
  </si>
  <si>
    <t>US-AK-Kachemak Bay (59.5932,-151.3614) approaching boat harbor entrances</t>
  </si>
  <si>
    <t>Upper Kachemak Bay</t>
  </si>
  <si>
    <t>Homer--Ben Walter's Park on Beluga Lake</t>
  </si>
  <si>
    <t>45° F, cloudy, five mph wind.</t>
  </si>
  <si>
    <t>Early but distinct shape and flight</t>
  </si>
  <si>
    <t>friendship walk tour group shorebird festival Gull Island to right beach</t>
  </si>
  <si>
    <t>Amazing location! bBoth birds were flying over the west end of the lake and heading toward the coast. Black and large shorebird with long orange bill.</t>
  </si>
  <si>
    <t>Aaron Lang spot of them flying from the airport towards the observation deck. I did not see the birds, but I heard the very distinctive call of the black oystercatcher.</t>
  </si>
  <si>
    <t>Homer spit harbor to Gull Island and around China poot bay</t>
  </si>
  <si>
    <t>(59.8778,-149.5565)</t>
  </si>
  <si>
    <t xml:space="preserve">Estimate. Flying low over Beluga Lake towards Beluga Slough. </t>
  </si>
  <si>
    <t>(59.8293,-149.5281)</t>
  </si>
  <si>
    <t xml:space="preserve">Fly over </t>
  </si>
  <si>
    <t>4065 Freight Dock Rd, Homer US-AK (59.6081,-151.4293)</t>
  </si>
  <si>
    <t>It was very cool that the Katchamak Shorebird Festival happened on my long weekend.  It allowed for a low stress drive for us.  It addition it was easy to find lodging.  Anyway, we got the opportunity to have stops at various places to do birding.  Plus getting to Homer at a reasonable hour for decompressing and winding down appropriately before sleep.  Weather was decent for the most part but some rain was experienced.  Temps were normal for this time of year.</t>
  </si>
  <si>
    <t>Probably more</t>
  </si>
  <si>
    <t>High winds and rain</t>
  </si>
  <si>
    <t>Heard distinctive 2 2 2 call</t>
  </si>
  <si>
    <t>9 flyover 1 on ground</t>
  </si>
  <si>
    <t>1672 Homer Spit Road, Homer, Alaska, US (59.634, -151.496)</t>
  </si>
  <si>
    <t xml:space="preserve">Estimate. Fly over </t>
  </si>
  <si>
    <t>Heard</t>
  </si>
  <si>
    <t>photos to follow</t>
  </si>
  <si>
    <t>Maybe least sandpiper. Look like it has darkly streaked breast</t>
  </si>
  <si>
    <t>Homer--Wynn Nature Center</t>
  </si>
  <si>
    <t>cloudy with intermittent rain (39 degrees F)</t>
  </si>
  <si>
    <t>East end</t>
  </si>
  <si>
    <t>(59.6453,-151.4913)</t>
  </si>
  <si>
    <t>Kachemak Bay Shorebird Monitoring Session #8. Volunteers Erin McKittrick &amp; Cindy Mom.</t>
  </si>
  <si>
    <t>Tiny shorebird. Yellowish legs. Had chest “bib” similar to pectoral sandpiper. Somewhat of eye stripe.  Clear black spots in a “lateral line”.  Rusty highlights on back. Voice was soft, not shrill like western.</t>
  </si>
  <si>
    <t>Identified by “tootle-loo-ey, 4-syllable song during flight.</t>
  </si>
  <si>
    <t>3601 Homer Spit Road, Homer, Alaska, US (59.613, -151.447)</t>
  </si>
  <si>
    <t xml:space="preserve">Kachemak Bay Shorebird Monitoring </t>
  </si>
  <si>
    <t>4667 Freight Dock Rd, Homer US-AK (59.6051,-151.4173)</t>
  </si>
  <si>
    <t xml:space="preserve">No luck on YBLO in harbor. </t>
  </si>
  <si>
    <t>Wild and wonderful cruise out of Homer</t>
  </si>
  <si>
    <t>Bear Cove</t>
  </si>
  <si>
    <t>47°F, cloudy, light wind. On the M/V Torega.</t>
  </si>
  <si>
    <t>Homer--Crittenden Dr.</t>
  </si>
  <si>
    <t>Identified by song</t>
  </si>
  <si>
    <t>4262 Homer Spit Road, Homer, Alaska, US (59.603, -151.423)</t>
  </si>
  <si>
    <t>Judged by voice and size compared to dunlin.</t>
  </si>
  <si>
    <t>4246 Homer Spit Road, Homer, Alaska, US (59.604, -151.426)</t>
  </si>
  <si>
    <t>Harbor area</t>
  </si>
  <si>
    <t>Along with another unidentified peep about the same size, but greyer in color</t>
  </si>
  <si>
    <t>-</t>
  </si>
  <si>
    <t>Boat to Gull Island and China Poot Bay</t>
  </si>
  <si>
    <t>Including 12 fly-overs.</t>
  </si>
  <si>
    <t>Contested American Golden-Plover in Homer area</t>
  </si>
  <si>
    <t xml:space="preserve">Short straight bill, more rounded head, long tibia. Did not call. </t>
  </si>
  <si>
    <t>2181 Kachemak Dr, Homer US-AK (59.6391,-151.4845)</t>
  </si>
  <si>
    <t>Flyover.   One group of 15 and then one group of 30. Flying just skimming water surface.</t>
  </si>
  <si>
    <t>Resting on dock.  dark cap and eye stripe, White belly with a few dark specks on flanks, dark legs, bill slightly longer than head with a slight droop.  back is brownish with black spots, chest is spotted with brown.  If deck plank is 6 inches wide and bird is 5.5 inches from Bill tip to tail tip. Seems alert.</t>
  </si>
  <si>
    <t>Cohen Island</t>
  </si>
  <si>
    <t>Small flocks throughout the bay.</t>
  </si>
  <si>
    <t>Reported by Karl.  This is a pretty typical count this time of the year.</t>
  </si>
  <si>
    <t>60' Rock</t>
  </si>
  <si>
    <t>Conservative estimate. Will count individuals in photos later.</t>
  </si>
  <si>
    <t>Kachemak Bay, Homer US-AK (59.6382,-151.5595)</t>
  </si>
  <si>
    <t>Typical count at this time.</t>
  </si>
  <si>
    <t>Fritz Creek, 40208 Alpenglow Circle</t>
  </si>
  <si>
    <t>Around gull island</t>
  </si>
  <si>
    <t>58996 East End Road, Homer, Alaska, US (59.679, -151.417)</t>
  </si>
  <si>
    <t xml:space="preserve">Homer Harbour breakwater </t>
  </si>
  <si>
    <t>Courtship dance on gravel bar</t>
  </si>
  <si>
    <t>44915 East End Road, Homer, Alaska, US (59.789, -151.092)</t>
  </si>
  <si>
    <t>Homer--Aleutian Tern Colony</t>
  </si>
  <si>
    <t>Homer birding hotspots</t>
  </si>
  <si>
    <t>Heard flyby from the SVT tribal cache building.</t>
  </si>
  <si>
    <t>Slightly bigger than WESA, russet breast.</t>
  </si>
  <si>
    <t>46 degrees, 0-10 mph wind, cloudy.</t>
  </si>
  <si>
    <t>Homer--Bridge Creek Reservoir</t>
  </si>
  <si>
    <t>1850 Coyote Way, Homer US-AK (59.6498,-151.5926)</t>
  </si>
  <si>
    <t>Coyote Cabin yard list</t>
  </si>
  <si>
    <t>2300 Sprucewood Dr, Homer US-AK (59.6599,-151.6108) Sprucewood Cabin</t>
  </si>
  <si>
    <t>5475 Carlson Place, Homer, Alaska, US (59.67, -151.475)</t>
  </si>
  <si>
    <t>In the marsh on the north side of the beach road.</t>
  </si>
  <si>
    <t>Weedah bird - TOWA</t>
  </si>
  <si>
    <t>Moonbeam Lane (2)</t>
  </si>
  <si>
    <t>101 Ohlson Ln, Homer US-AK (59.6388,-151.5445)</t>
  </si>
  <si>
    <t>1740 Mooseview Way, Homer US-AK (59.6504,-151.4968)</t>
  </si>
  <si>
    <t>35640 I Benson Rd, Anchor Point US-AK (59.7564,-151.7754)</t>
  </si>
  <si>
    <t>52200–52406 Moonbeam Ln, Homer US-AK (59.7532,-151.2361)</t>
  </si>
  <si>
    <t>51838 Dwarf Willow Avenue, Homer, Alaska, US (59.758, -151.241)</t>
  </si>
  <si>
    <t>Incidental birding by ear and glance throughout the day, with some serious watching here and there. Lots of new species showing up this week!</t>
  </si>
  <si>
    <t>Jaeger Bog</t>
  </si>
  <si>
    <t>40891 Morning Star Rd, Kachemak US-AK (59.6794,-151.4169)</t>
  </si>
  <si>
    <t>Homer--Baycrest Trails</t>
  </si>
  <si>
    <t>KBB field trip</t>
  </si>
  <si>
    <t xml:space="preserve"> My House-Raven Lane</t>
  </si>
  <si>
    <t>Yard birding light rain overcast</t>
  </si>
  <si>
    <t>winnowing</t>
  </si>
  <si>
    <t>Homer--Stone Step Lake</t>
  </si>
  <si>
    <t>Anchor Point/River Supplemental Data for 2019</t>
  </si>
  <si>
    <t>NUMBER OBSERVERS</t>
  </si>
  <si>
    <t>Anchor Point</t>
  </si>
  <si>
    <t>Flying south along the beach.</t>
  </si>
  <si>
    <t>Anchor Point--Anchor River Mouth</t>
  </si>
  <si>
    <t xml:space="preserve">Two flew by </t>
  </si>
  <si>
    <t xml:space="preserve">Anchor River Hotspot Tour #5 - Kachemak Bay Shorebird Festival. </t>
  </si>
  <si>
    <t>Fly by</t>
  </si>
  <si>
    <t>Flyover along water</t>
  </si>
  <si>
    <t>Flying along beach.</t>
  </si>
  <si>
    <t xml:space="preserve">Flyover along water </t>
  </si>
  <si>
    <t>We usually do well on a calm day after winds, but today was exceptional. We had 66 species in first 2 hours. Periodic rain, some hail, winds picked up throughout day to N 10 mph. 4 River Otters, 1 Steller’s Sea Lion, 1 Minke Whale, 8 Sea Otters, 2 Harbor Seals, 1 Red Squirrel.</t>
  </si>
  <si>
    <t>Many other birders in area too</t>
  </si>
  <si>
    <t>fly by</t>
  </si>
  <si>
    <t>Wakes the river trail in the cottonwoods and down the beach to the River mouth low in coming tide windy spitting rain</t>
  </si>
  <si>
    <t>Anchor River Boat Launch Parking Lot</t>
  </si>
  <si>
    <t xml:space="preserve">Anchor Point walk - part of Kachemak Bay Shorebird Festival. </t>
  </si>
  <si>
    <t>With Carol Griswold &amp; others, Marsh &amp; shore</t>
  </si>
  <si>
    <t>Led by by Carol Griswald andMichelle Michaud</t>
  </si>
  <si>
    <t>Only birded from parking lot.</t>
  </si>
  <si>
    <t>74294 Anchor Point Rd, Anchor Point US-AK (59.7738,-151.8672)</t>
  </si>
  <si>
    <t>This is the 4th session of this years Kachemak Bay Shorebird Monitoring Project.  With respect to birds other than shorebirds, monitors included only those that were FOS.</t>
  </si>
  <si>
    <t>This is the 5th session of this years Kachemak Bay Shorebird Monitoring Project.  Disturbance from loose dogs.  For birds other than shorebirds see Michelle Michaud's eBird report.</t>
  </si>
  <si>
    <t>Me and my dad</t>
  </si>
  <si>
    <t>This is the 6th session of this years Kachemak Bay Shorebird Monitoring Project.  For birds seen other than shorebirds, se Michelle's report.</t>
  </si>
  <si>
    <t>cloudy and breezy (42 degrees F)</t>
  </si>
  <si>
    <t>74272 Anchor Point Road, Anchor Point, Alaska, US (59.774, -151.867)</t>
  </si>
  <si>
    <t>74294 Anchor Point Rd, Anchor Point US-AK (59.7736,-151.8670)</t>
  </si>
  <si>
    <t>Anchor Point, Alaska, US (59.775, -151.866)</t>
  </si>
  <si>
    <t xml:space="preserve">Shorebird monitoring. Participants also included Maryanne Dyke and Lori Paulsrud. Started 45 minutes later than scheduled due to culvert replacement project in progress on main (and only) road to where we begin monitoring. </t>
  </si>
  <si>
    <t xml:space="preserve">Jim Herbert Maryanne Dyke Kristen Wright Lynn Kee--Shorebird monitoring session. </t>
  </si>
  <si>
    <t>cloudy, breezy and intermittent rain (37 degrees F)</t>
  </si>
  <si>
    <t>Flyover, probably marbled</t>
  </si>
  <si>
    <t>74272 Anchor Point Road, Anchor Point, Alaska, US (59.773, -151.867)</t>
  </si>
  <si>
    <t>74294 Anchor Point Rd, Anchor Point US-AK (59.7737,-151.8671)</t>
  </si>
  <si>
    <t>cloudy (49 degrees F)</t>
  </si>
  <si>
    <t xml:space="preserve">At least this many </t>
  </si>
  <si>
    <t>Cook Inlet, Anchor Point US-AK (59.7777,-151.8629)</t>
  </si>
  <si>
    <t xml:space="preserve">Many campers and four wheelers on beach for holiday weekend   </t>
  </si>
  <si>
    <t>Session #3 of this years Kachemak Bay Shorebird Monitoring Project.  Report had just shorebirds,</t>
  </si>
  <si>
    <t>39291 Old Sterling Hwy, Anchor Point US-AK (59.7298,-151.7638)</t>
  </si>
  <si>
    <t>Anchor River--South Fork</t>
  </si>
  <si>
    <t>74294 Anchor Point Rd, Anchor Point US-AK (59.7735,-151.8669)</t>
  </si>
  <si>
    <t>Anchor River SRA--Mawalli Rock Day Use Area</t>
  </si>
  <si>
    <t>Seen while fishing</t>
  </si>
  <si>
    <t>While fishing</t>
  </si>
  <si>
    <t>34179 Trail Road, Anchor Point, Alaska, US (59.776, -151.853)</t>
  </si>
  <si>
    <t>Breezy. Overcast. Drizzle. 52F</t>
  </si>
  <si>
    <t xml:space="preserve">Kachemak Bay Burders April Field Trip </t>
  </si>
  <si>
    <t>Definitely a plover by itself in a clump of kelp. Golden-speckled mantle.</t>
  </si>
  <si>
    <t>Photo to follow. Seen by 10 others. In kelp near surf line.</t>
  </si>
  <si>
    <t>Molting</t>
  </si>
  <si>
    <t>while scanning the beach we both saw one run the length of the beach in front of the parking lot</t>
  </si>
  <si>
    <t>Anchor river</t>
  </si>
  <si>
    <t>Our last day of being on the Kenai Peninsula began with the final event of observing at the mouth of this river.  As always it produced good birds to list.  The wind was working but no rain and partly sunny.  Not many around but the fishing has begun.  Saw several boats on the water and now like at Deep Creek, they have tractors launching boats.  @least it is the first time I saw that.  Even acquired a few FOS species.</t>
  </si>
  <si>
    <t>Anchor Point, 65302-65598 Corabin Road</t>
  </si>
  <si>
    <t>Landed in yard FOS</t>
  </si>
  <si>
    <t>Heard when stepped outside before bed</t>
  </si>
  <si>
    <t>Heard winnowing</t>
  </si>
  <si>
    <t>Kasilof River - Supplemental Data for 2019</t>
  </si>
  <si>
    <t>Kasilof--Kasilof River Mouth</t>
  </si>
  <si>
    <t>2nd Shorebird Survey. Observers Laura and Toby Burke. 95% high overcast. Winds SW 5-10. 35 F. 2 Red Squirrels.</t>
  </si>
  <si>
    <t>Steady rain, wind.</t>
  </si>
  <si>
    <t>3rd Shorebird Survey. 35 F. Winds SSW 15. 10% cloud cover. Observers Laura and Toby Burke.</t>
  </si>
  <si>
    <t>4th Shorebird Survey. 41 F. Winds NE 2-5. Increasing overcast as time went on, 10% cloud cover. Observers Laura and Toby Burke.</t>
  </si>
  <si>
    <t>AK - KEN - Kasilof River north bank</t>
  </si>
  <si>
    <t>5th Shorebird Survey. 46 F. Winds SW 15. 10% cloud cover. Observers Laura and Toby Burke.</t>
  </si>
  <si>
    <t>6th Shorebird Survey. 45 F. Winds SW 15 - 20 mph. 50% cloud cover. Observers Laura and Toby Burke.</t>
  </si>
  <si>
    <t>Very low tide</t>
  </si>
  <si>
    <t>Supplemental Shorebird Survey following normal protocol. ("Survey 6A"). 44F. Winds E 10-20 mph. 95% cloud cover. 1 Moose.--Observers Laura and Toby Burke.</t>
  </si>
  <si>
    <t>Midtide</t>
  </si>
  <si>
    <t>Shorebird Survey 7, a day after Homer’s. As is usual with the later surveys, the number of birds goes down, but the species diversity goes up.</t>
  </si>
  <si>
    <t>ak - - ken - Kasilof River north bank mourh</t>
  </si>
  <si>
    <t>cloudy (48 degrees F)</t>
  </si>
  <si>
    <t>Cloudy, strong wind (blowing sand and hard to stand against wind), 45° F.</t>
  </si>
  <si>
    <t>Shorebird Survey 8. Kenai Birding Festival Hotspot Tour. 98% cloud cover. Winds W 5 mph. 44 F. Observers Laura Burke and Chet Vincent.</t>
  </si>
  <si>
    <t>Not unusual for date and location - migration.</t>
  </si>
  <si>
    <t>it was 20 feet from us in a small wetland.  Yellowlegs, larger bill no doubt about ID</t>
  </si>
  <si>
    <t>Shorebird Survey 9. Observers Laura and Toby Burke. 80% cloud cover. Winds NW 5 mph.</t>
  </si>
  <si>
    <t>Cinnamon wing linings, flight feathers. Were at the far edge of the mudflats for a long time, but flew away before the tide pushed in close, as is typical for godwits here.</t>
  </si>
  <si>
    <t>Flew off before they were close enough to pick out any SESA or LESA.</t>
  </si>
  <si>
    <r>
      <t xml:space="preserve">Kachemak Bay Supplemental Data for 2019  </t>
    </r>
    <r>
      <rPr>
        <sz val="11"/>
        <color theme="1"/>
        <rFont val="Calibri"/>
        <family val="2"/>
        <scheme val="minor"/>
      </rPr>
      <t>(Including all four Homer Spit monitroing sites, Beluga Slough, Kachemak Bay, and Seldovia).</t>
    </r>
  </si>
  <si>
    <t>Black-bellied Plover/Golden-Plover sp.</t>
  </si>
  <si>
    <t xml:space="preserve">   4. The Adj.Count column lists counts included in the supplemental dsata chart.  .</t>
  </si>
  <si>
    <t xml:space="preserve">   Kachemak Bay 6 sites</t>
  </si>
  <si>
    <t xml:space="preserve">   Seldovia Bay</t>
  </si>
  <si>
    <t xml:space="preserve">can be used to fill these gaps.  However, these observations do not follow a protocl and there is much duplictipn.  Much of the duplication  can be eliminated by pouring through the dta and using only the daily high count for a hotspot.  This essentially establishes what is probably higher than what occured, but what would be a maximum count.   </t>
  </si>
  <si>
    <t xml:space="preserve">The purpse of these tables and charts is to illustrate the minimum/maximum estimate of the number of shorebirds that stopover at Kachernak Bay this year. The minimum number is that obtained from monitoiring which follows a protocoal </t>
  </si>
  <si>
    <t>Kachemak Bay Shorebird Counts</t>
  </si>
  <si>
    <t>All Shorebirds</t>
  </si>
  <si>
    <t>Peeps (WESA, DUNL, LESA, SESA)</t>
  </si>
  <si>
    <t>Dowitchers</t>
  </si>
  <si>
    <t xml:space="preserve">   2. Deleting duplicate observations.  The eBird database in includes many obervations of the same shorebirds. When there was duplication, the observation selected for the charts was the highest count for a specifc site and date.   </t>
  </si>
  <si>
    <t>and  has high certainty in its count.  However, beause monitoring occurs only one every five daya, we know many shorebirds come and go between sessions and are therefore not counted.  On the otherhand, the numerous eBrid reports for the Kenai Peninsula</t>
  </si>
  <si>
    <t xml:space="preserve">     Sheet 3 - Supplemental  Data. </t>
  </si>
  <si>
    <t xml:space="preserve">     Sheet 4 - Supplemental Charts</t>
  </si>
  <si>
    <t xml:space="preserve">     Sheet 5 - Homer Spit All Years</t>
  </si>
  <si>
    <t xml:space="preserve">     Sheet 7 - Comparisons to George West data</t>
  </si>
  <si>
    <t xml:space="preserve">     Sheet 6 - Anchor and Kasilof River All Years</t>
  </si>
  <si>
    <t>Comparison of Six Days of West Shorebird Data (1986-1994) to Six Comparable days of Kachemak Bay Birders Data (2009-2019) for Homer Spit sites.</t>
  </si>
  <si>
    <t>West</t>
  </si>
  <si>
    <t>KBB</t>
  </si>
  <si>
    <t>1986-94</t>
  </si>
  <si>
    <t>2009-19</t>
  </si>
  <si>
    <t>Average Annual Count</t>
  </si>
  <si>
    <t># 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</si>
</sst>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17" x14ac:knownFonts="1">
    <font>
      <sz val="11"/>
      <color theme="1"/>
      <name val="Calibri"/>
      <family val="2"/>
      <scheme val="minor"/>
    </font>
    <font>
      <b/>
      <sz val="11"/>
      <color indexed="8"/>
      <name val="Calibri"/>
      <family val="2"/>
    </font>
    <font>
      <sz val="9"/>
      <color indexed="81"/>
      <name val="Tahoma"/>
      <family val="2"/>
    </font>
    <font>
      <b/>
      <sz val="10"/>
      <color indexed="8"/>
      <name val="Arial"/>
      <family val="2"/>
    </font>
    <font>
      <sz val="10"/>
      <color indexed="8"/>
      <name val="Arial"/>
      <family val="2"/>
    </font>
    <font>
      <sz val="10"/>
      <color indexed="8"/>
      <name val="Arial"/>
      <family val="2"/>
    </font>
    <font>
      <sz val="11"/>
      <color theme="1"/>
      <name val="Calibri"/>
      <family val="2"/>
      <scheme val="minor"/>
    </font>
    <font>
      <b/>
      <sz val="11"/>
      <color theme="1"/>
      <name val="Calibri"/>
      <family val="2"/>
      <scheme val="minor"/>
    </font>
    <font>
      <b/>
      <sz val="11"/>
      <name val="Calibri"/>
      <family val="2"/>
      <scheme val="minor"/>
    </font>
    <font>
      <b/>
      <sz val="9"/>
      <color theme="1"/>
      <name val="Arial"/>
      <family val="2"/>
    </font>
    <font>
      <sz val="11"/>
      <name val="Calibri"/>
      <family val="2"/>
      <scheme val="minor"/>
    </font>
    <font>
      <b/>
      <sz val="12"/>
      <color theme="1"/>
      <name val="Times New Roman"/>
      <family val="1"/>
    </font>
    <font>
      <sz val="12"/>
      <color theme="1"/>
      <name val="Times New Roman"/>
      <family val="1"/>
    </font>
    <font>
      <b/>
      <sz val="20"/>
      <color theme="1"/>
      <name val="Calibri"/>
      <family val="2"/>
      <scheme val="minor"/>
    </font>
    <font>
      <b/>
      <sz val="10"/>
      <color theme="1"/>
      <name val="Calibri"/>
      <family val="2"/>
      <scheme val="minor"/>
    </font>
    <font>
      <b/>
      <sz val="8"/>
      <color theme="1"/>
      <name val="Arial"/>
      <family val="2"/>
    </font>
    <font>
      <b/>
      <sz val="12"/>
      <color theme="1"/>
      <name val="Arial"/>
      <family val="2"/>
    </font>
  </fonts>
  <fills count="3">
    <fill>
      <patternFill patternType="none"/>
    </fill>
    <fill>
      <patternFill patternType="gray125"/>
    </fill>
    <fill>
      <patternFill patternType="solid">
        <fgColor rgb="FFC0C0C0"/>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22"/>
      </left>
      <right/>
      <top/>
      <bottom/>
      <diagonal/>
    </border>
    <border>
      <left/>
      <right style="thin">
        <color indexed="22"/>
      </right>
      <top/>
      <bottom/>
      <diagonal/>
    </border>
    <border>
      <left style="thin">
        <color indexed="22"/>
      </left>
      <right style="thin">
        <color indexed="22"/>
      </right>
      <top/>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right style="thin">
        <color auto="1"/>
      </right>
      <top style="thin">
        <color auto="1"/>
      </top>
      <bottom/>
      <diagonal/>
    </border>
  </borders>
  <cellStyleXfs count="6">
    <xf numFmtId="0" fontId="0" fillId="0" borderId="0"/>
    <xf numFmtId="43" fontId="6" fillId="0" borderId="0" applyFont="0" applyFill="0" applyBorder="0" applyAlignment="0" applyProtection="0"/>
    <xf numFmtId="0" fontId="6" fillId="0" borderId="2"/>
    <xf numFmtId="0" fontId="6" fillId="0" borderId="3"/>
    <xf numFmtId="0" fontId="6" fillId="0" borderId="4"/>
    <xf numFmtId="9" fontId="6" fillId="0" borderId="0" applyFont="0" applyFill="0" applyBorder="0" applyAlignment="0" applyProtection="0"/>
  </cellStyleXfs>
  <cellXfs count="275">
    <xf numFmtId="0" fontId="0" fillId="0" borderId="0" xfId="0"/>
    <xf numFmtId="0" fontId="7" fillId="0" borderId="0" xfId="0" applyFont="1"/>
    <xf numFmtId="0" fontId="0" fillId="0" borderId="0" xfId="0"/>
    <xf numFmtId="0" fontId="6" fillId="0" borderId="3" xfId="3"/>
    <xf numFmtId="0" fontId="6" fillId="0" borderId="2" xfId="2"/>
    <xf numFmtId="0" fontId="6" fillId="0" borderId="2" xfId="3" applyBorder="1"/>
    <xf numFmtId="0" fontId="6" fillId="0" borderId="4" xfId="4"/>
    <xf numFmtId="0" fontId="6" fillId="0" borderId="2" xfId="2" applyAlignment="1">
      <alignment horizontal="right"/>
    </xf>
    <xf numFmtId="0" fontId="7" fillId="0" borderId="2" xfId="2" applyFont="1" applyAlignment="1">
      <alignment horizontal="center"/>
    </xf>
    <xf numFmtId="0" fontId="0" fillId="0" borderId="0" xfId="0" applyFill="1" applyBorder="1"/>
    <xf numFmtId="0" fontId="7" fillId="0" borderId="3" xfId="3" applyFont="1" applyFill="1"/>
    <xf numFmtId="0" fontId="7" fillId="0" borderId="3" xfId="3" applyFont="1"/>
    <xf numFmtId="0" fontId="0" fillId="0" borderId="0" xfId="0" applyAlignment="1">
      <alignment horizontal="right"/>
    </xf>
    <xf numFmtId="0" fontId="6" fillId="0" borderId="3" xfId="3" applyFont="1"/>
    <xf numFmtId="0" fontId="0" fillId="0" borderId="0" xfId="0" applyFont="1"/>
    <xf numFmtId="16" fontId="0" fillId="0" borderId="0" xfId="0" applyNumberFormat="1"/>
    <xf numFmtId="0" fontId="6" fillId="0" borderId="3" xfId="3" applyFont="1"/>
    <xf numFmtId="164" fontId="0" fillId="0" borderId="0" xfId="0" applyNumberFormat="1"/>
    <xf numFmtId="0" fontId="0" fillId="0" borderId="0" xfId="0" applyAlignment="1">
      <alignment horizontal="left"/>
    </xf>
    <xf numFmtId="164" fontId="6" fillId="0" borderId="0" xfId="1" applyNumberFormat="1" applyFont="1" applyFill="1" applyBorder="1"/>
    <xf numFmtId="164" fontId="6" fillId="0" borderId="0" xfId="1" applyNumberFormat="1" applyBorder="1"/>
    <xf numFmtId="0" fontId="0" fillId="0" borderId="0" xfId="0" applyBorder="1"/>
    <xf numFmtId="0" fontId="0" fillId="0" borderId="2" xfId="0" applyBorder="1" applyAlignment="1">
      <alignment horizontal="center"/>
    </xf>
    <xf numFmtId="164" fontId="6" fillId="0" borderId="6" xfId="1" applyNumberFormat="1" applyBorder="1"/>
    <xf numFmtId="164" fontId="6" fillId="0" borderId="0" xfId="1" applyNumberFormat="1" applyBorder="1" applyAlignment="1">
      <alignment horizontal="right"/>
    </xf>
    <xf numFmtId="164" fontId="6" fillId="0" borderId="6" xfId="1" applyNumberFormat="1" applyBorder="1" applyAlignment="1">
      <alignment horizontal="right"/>
    </xf>
    <xf numFmtId="0" fontId="7" fillId="0" borderId="4" xfId="4" applyFont="1"/>
    <xf numFmtId="0" fontId="7" fillId="0" borderId="0" xfId="0" applyFont="1" applyAlignment="1">
      <alignment horizontal="center"/>
    </xf>
    <xf numFmtId="0" fontId="7" fillId="0" borderId="3" xfId="4" applyFont="1" applyFill="1" applyBorder="1"/>
    <xf numFmtId="164" fontId="6" fillId="0" borderId="0" xfId="1" applyNumberFormat="1" applyFill="1" applyBorder="1" applyAlignment="1">
      <alignment horizontal="right"/>
    </xf>
    <xf numFmtId="164" fontId="6" fillId="0" borderId="0" xfId="1" applyNumberFormat="1" applyFont="1"/>
    <xf numFmtId="164" fontId="6" fillId="0" borderId="2" xfId="1" applyNumberFormat="1" applyBorder="1"/>
    <xf numFmtId="0" fontId="8" fillId="0" borderId="3" xfId="3" applyFont="1" applyFill="1" applyBorder="1"/>
    <xf numFmtId="164" fontId="6" fillId="0" borderId="7" xfId="1" applyNumberFormat="1" applyBorder="1" applyAlignment="1">
      <alignment horizontal="right"/>
    </xf>
    <xf numFmtId="0" fontId="0" fillId="0" borderId="4" xfId="0" applyBorder="1"/>
    <xf numFmtId="0" fontId="6" fillId="0" borderId="0" xfId="4" applyBorder="1"/>
    <xf numFmtId="0" fontId="3" fillId="0" borderId="0" xfId="0" applyFont="1" applyAlignment="1">
      <alignment horizontal="left"/>
    </xf>
    <xf numFmtId="0" fontId="3" fillId="0" borderId="0" xfId="0" applyFont="1"/>
    <xf numFmtId="0" fontId="4" fillId="0" borderId="1" xfId="0" applyFont="1" applyFill="1" applyBorder="1" applyAlignment="1">
      <alignment wrapText="1"/>
    </xf>
    <xf numFmtId="14" fontId="0" fillId="0" borderId="0" xfId="0" applyNumberFormat="1"/>
    <xf numFmtId="14" fontId="5" fillId="0" borderId="1" xfId="0" applyNumberFormat="1" applyFont="1" applyFill="1" applyBorder="1" applyAlignment="1">
      <alignment horizontal="right" wrapText="1"/>
    </xf>
    <xf numFmtId="0" fontId="0" fillId="0" borderId="1" xfId="0" applyFill="1" applyBorder="1" applyAlignment="1">
      <alignment horizontal="center" wrapText="1"/>
    </xf>
    <xf numFmtId="164" fontId="5" fillId="0" borderId="0" xfId="1" applyNumberFormat="1" applyFont="1" applyFill="1" applyAlignment="1">
      <alignment horizontal="right" wrapText="1"/>
    </xf>
    <xf numFmtId="164" fontId="5" fillId="0" borderId="1" xfId="1" applyNumberFormat="1" applyFont="1" applyFill="1" applyBorder="1" applyAlignment="1">
      <alignment horizontal="right" wrapText="1"/>
    </xf>
    <xf numFmtId="164" fontId="6" fillId="0" borderId="0" xfId="1" applyNumberFormat="1" applyFont="1"/>
    <xf numFmtId="164" fontId="6" fillId="0" borderId="1" xfId="1" applyNumberFormat="1" applyFont="1" applyBorder="1"/>
    <xf numFmtId="164" fontId="4" fillId="0" borderId="1" xfId="1" applyNumberFormat="1" applyFont="1" applyFill="1" applyBorder="1" applyAlignment="1">
      <alignment wrapText="1"/>
    </xf>
    <xf numFmtId="164" fontId="4" fillId="0" borderId="0" xfId="1" applyNumberFormat="1" applyFont="1" applyFill="1" applyAlignment="1">
      <alignment wrapText="1"/>
    </xf>
    <xf numFmtId="164" fontId="6" fillId="0" borderId="8" xfId="1" applyNumberFormat="1" applyFont="1" applyFill="1" applyBorder="1" applyAlignment="1">
      <alignment horizontal="right" wrapText="1"/>
    </xf>
    <xf numFmtId="164" fontId="6" fillId="0" borderId="9" xfId="1" applyNumberFormat="1" applyFont="1" applyFill="1" applyBorder="1" applyAlignment="1">
      <alignment horizontal="right" wrapText="1"/>
    </xf>
    <xf numFmtId="0" fontId="5" fillId="0" borderId="10" xfId="0" applyFont="1" applyFill="1" applyBorder="1" applyAlignment="1">
      <alignment wrapText="1"/>
    </xf>
    <xf numFmtId="0" fontId="3" fillId="0" borderId="1" xfId="0" applyFont="1" applyFill="1" applyBorder="1" applyAlignment="1">
      <alignment horizontal="left" wrapText="1"/>
    </xf>
    <xf numFmtId="0" fontId="5" fillId="0" borderId="1" xfId="0" applyFont="1" applyFill="1" applyBorder="1" applyAlignment="1">
      <alignment horizontal="right" wrapText="1"/>
    </xf>
    <xf numFmtId="14" fontId="0" fillId="0" borderId="1" xfId="0" applyNumberFormat="1" applyFill="1" applyBorder="1" applyAlignment="1">
      <alignment horizontal="center" wrapText="1"/>
    </xf>
    <xf numFmtId="0" fontId="5" fillId="0" borderId="1" xfId="0" applyFont="1" applyFill="1" applyBorder="1" applyAlignment="1">
      <alignment wrapText="1"/>
    </xf>
    <xf numFmtId="14" fontId="0" fillId="0" borderId="0" xfId="0" applyNumberFormat="1" applyAlignment="1">
      <alignment horizontal="center"/>
    </xf>
    <xf numFmtId="164" fontId="6" fillId="0" borderId="0" xfId="1" applyNumberFormat="1" applyFont="1" applyFill="1" applyBorder="1" applyAlignment="1">
      <alignment horizontal="right" wrapText="1"/>
    </xf>
    <xf numFmtId="0" fontId="3" fillId="0" borderId="1" xfId="0" applyFont="1" applyFill="1" applyBorder="1" applyAlignment="1">
      <alignment wrapText="1"/>
    </xf>
    <xf numFmtId="0" fontId="0" fillId="0" borderId="1" xfId="0" applyBorder="1"/>
    <xf numFmtId="164" fontId="5" fillId="0" borderId="0" xfId="1" applyNumberFormat="1" applyFont="1" applyFill="1" applyBorder="1" applyAlignment="1">
      <alignment horizontal="right" wrapText="1"/>
    </xf>
    <xf numFmtId="164" fontId="6" fillId="0" borderId="0" xfId="1" applyNumberFormat="1" applyFont="1" applyBorder="1"/>
    <xf numFmtId="164" fontId="4" fillId="0" borderId="1" xfId="0" applyNumberFormat="1" applyFont="1" applyFill="1" applyBorder="1" applyAlignment="1">
      <alignment wrapText="1"/>
    </xf>
    <xf numFmtId="14" fontId="5" fillId="0" borderId="0" xfId="0" applyNumberFormat="1" applyFont="1" applyFill="1" applyAlignment="1">
      <alignment horizontal="right" wrapText="1"/>
    </xf>
    <xf numFmtId="0" fontId="5" fillId="0" borderId="0" xfId="0" applyFont="1" applyFill="1" applyAlignment="1">
      <alignment horizontal="right" wrapText="1"/>
    </xf>
    <xf numFmtId="0" fontId="5" fillId="0" borderId="0" xfId="0" applyFont="1" applyFill="1" applyBorder="1" applyAlignment="1">
      <alignment horizontal="right" wrapText="1"/>
    </xf>
    <xf numFmtId="0" fontId="4" fillId="0" borderId="0" xfId="0" applyFont="1" applyFill="1" applyAlignment="1">
      <alignment wrapText="1"/>
    </xf>
    <xf numFmtId="0" fontId="4" fillId="0" borderId="0" xfId="0" applyFont="1" applyFill="1" applyBorder="1" applyAlignment="1">
      <alignment wrapText="1"/>
    </xf>
    <xf numFmtId="0" fontId="0" fillId="0" borderId="1" xfId="0" applyFont="1" applyFill="1" applyBorder="1" applyAlignment="1">
      <alignment horizontal="right" wrapText="1"/>
    </xf>
    <xf numFmtId="0" fontId="0" fillId="0" borderId="0" xfId="0" applyFont="1" applyFill="1" applyAlignment="1">
      <alignment horizontal="right" wrapText="1"/>
    </xf>
    <xf numFmtId="0" fontId="4" fillId="0" borderId="1" xfId="0" applyFont="1" applyFill="1" applyBorder="1" applyAlignment="1">
      <alignment horizontal="center" wrapText="1"/>
    </xf>
    <xf numFmtId="0" fontId="4" fillId="0" borderId="1" xfId="0" applyFont="1" applyFill="1" applyBorder="1" applyAlignment="1">
      <alignment horizontal="left" wrapText="1"/>
    </xf>
    <xf numFmtId="0" fontId="0" fillId="0" borderId="1" xfId="0" applyFill="1" applyBorder="1" applyAlignment="1">
      <alignment wrapText="1"/>
    </xf>
    <xf numFmtId="14" fontId="5" fillId="0" borderId="0" xfId="0" applyNumberFormat="1" applyFont="1" applyFill="1" applyAlignment="1">
      <alignment horizontal="left" wrapText="1"/>
    </xf>
    <xf numFmtId="0" fontId="0" fillId="0" borderId="0" xfId="0" applyAlignment="1">
      <alignment horizontal="center"/>
    </xf>
    <xf numFmtId="164" fontId="6" fillId="0" borderId="0" xfId="1" applyNumberFormat="1" applyFont="1"/>
    <xf numFmtId="164" fontId="5" fillId="0" borderId="0" xfId="1" applyNumberFormat="1" applyFont="1"/>
    <xf numFmtId="0" fontId="3" fillId="0" borderId="1" xfId="0" applyFont="1" applyFill="1" applyBorder="1" applyAlignment="1"/>
    <xf numFmtId="164" fontId="6" fillId="0" borderId="0" xfId="1" applyNumberFormat="1" applyFont="1"/>
    <xf numFmtId="0" fontId="6" fillId="0" borderId="4" xfId="3" applyBorder="1"/>
    <xf numFmtId="0" fontId="6" fillId="0" borderId="3" xfId="4" applyBorder="1"/>
    <xf numFmtId="164" fontId="6" fillId="0" borderId="2" xfId="1" applyNumberFormat="1" applyFont="1" applyBorder="1"/>
    <xf numFmtId="0" fontId="6" fillId="0" borderId="0" xfId="2" applyBorder="1"/>
    <xf numFmtId="164" fontId="0" fillId="0" borderId="2" xfId="0" applyNumberFormat="1" applyBorder="1"/>
    <xf numFmtId="0" fontId="6" fillId="0" borderId="3" xfId="3" applyFont="1"/>
    <xf numFmtId="0" fontId="6" fillId="0" borderId="3" xfId="3" applyFont="1" applyFill="1"/>
    <xf numFmtId="0" fontId="6" fillId="0" borderId="3" xfId="4" applyFill="1" applyBorder="1"/>
    <xf numFmtId="164" fontId="0" fillId="0" borderId="0" xfId="1" applyNumberFormat="1" applyFont="1"/>
    <xf numFmtId="0" fontId="0" fillId="0" borderId="3" xfId="0" applyBorder="1"/>
    <xf numFmtId="0" fontId="0" fillId="0" borderId="5" xfId="0" applyBorder="1"/>
    <xf numFmtId="9" fontId="0" fillId="0" borderId="0" xfId="5" applyFont="1"/>
    <xf numFmtId="0" fontId="0" fillId="0" borderId="11" xfId="0" applyBorder="1"/>
    <xf numFmtId="0" fontId="0" fillId="0" borderId="2" xfId="0" applyBorder="1"/>
    <xf numFmtId="0" fontId="0" fillId="0" borderId="13" xfId="0" applyBorder="1"/>
    <xf numFmtId="0" fontId="7" fillId="0" borderId="13" xfId="0" applyFont="1" applyBorder="1"/>
    <xf numFmtId="0" fontId="7" fillId="0" borderId="0" xfId="0" applyFont="1" applyBorder="1" applyAlignment="1">
      <alignment horizontal="center"/>
    </xf>
    <xf numFmtId="0" fontId="7" fillId="0" borderId="11" xfId="0" applyFont="1" applyBorder="1"/>
    <xf numFmtId="0" fontId="6" fillId="0" borderId="11" xfId="3" applyBorder="1"/>
    <xf numFmtId="0" fontId="7" fillId="0" borderId="2" xfId="0" applyFont="1" applyBorder="1" applyAlignment="1">
      <alignment horizontal="center"/>
    </xf>
    <xf numFmtId="9" fontId="0" fillId="0" borderId="0" xfId="5" applyNumberFormat="1" applyFont="1"/>
    <xf numFmtId="164" fontId="0" fillId="0" borderId="2" xfId="1" applyNumberFormat="1" applyFont="1" applyBorder="1"/>
    <xf numFmtId="16" fontId="0" fillId="0" borderId="0" xfId="0" applyNumberFormat="1" applyAlignment="1">
      <alignment horizontal="center"/>
    </xf>
    <xf numFmtId="0" fontId="0" fillId="0" borderId="3" xfId="3" applyFont="1"/>
    <xf numFmtId="0" fontId="0" fillId="0" borderId="0" xfId="0" applyFill="1" applyBorder="1" applyAlignment="1">
      <alignment horizontal="center"/>
    </xf>
    <xf numFmtId="16" fontId="8" fillId="0" borderId="0" xfId="0" applyNumberFormat="1" applyFont="1" applyAlignment="1">
      <alignment horizontal="center"/>
    </xf>
    <xf numFmtId="164" fontId="8" fillId="0" borderId="0" xfId="1" applyNumberFormat="1" applyFont="1"/>
    <xf numFmtId="0" fontId="8" fillId="0" borderId="0" xfId="0" applyFont="1"/>
    <xf numFmtId="164" fontId="7" fillId="0" borderId="0" xfId="1" applyNumberFormat="1" applyFont="1"/>
    <xf numFmtId="164" fontId="7" fillId="0" borderId="2" xfId="1" applyNumberFormat="1" applyFont="1" applyBorder="1"/>
    <xf numFmtId="0" fontId="7" fillId="0" borderId="4" xfId="0" applyFont="1" applyBorder="1"/>
    <xf numFmtId="16" fontId="0" fillId="0" borderId="0" xfId="0" applyNumberFormat="1" applyAlignment="1">
      <alignment horizontal="right"/>
    </xf>
    <xf numFmtId="0" fontId="0" fillId="0" borderId="0" xfId="0" quotePrefix="1" applyAlignment="1">
      <alignment horizontal="right"/>
    </xf>
    <xf numFmtId="0" fontId="9" fillId="0" borderId="0" xfId="0" applyFont="1" applyFill="1" applyBorder="1" applyAlignment="1">
      <alignment vertical="center"/>
    </xf>
    <xf numFmtId="0" fontId="0" fillId="0" borderId="0" xfId="0" applyNumberFormat="1"/>
    <xf numFmtId="0" fontId="0" fillId="0" borderId="0" xfId="0" applyAlignment="1">
      <alignment vertical="top" wrapText="1"/>
    </xf>
    <xf numFmtId="0" fontId="0" fillId="0" borderId="14" xfId="0" applyBorder="1"/>
    <xf numFmtId="164" fontId="0" fillId="0" borderId="12" xfId="1" applyNumberFormat="1" applyFont="1" applyBorder="1"/>
    <xf numFmtId="164" fontId="0" fillId="0" borderId="7" xfId="1" applyNumberFormat="1" applyFont="1" applyBorder="1"/>
    <xf numFmtId="0" fontId="7" fillId="0" borderId="2" xfId="2" applyFont="1"/>
    <xf numFmtId="164" fontId="7" fillId="0" borderId="2" xfId="1" applyNumberFormat="1" applyFont="1" applyBorder="1" applyAlignment="1">
      <alignment horizontal="center"/>
    </xf>
    <xf numFmtId="164" fontId="7" fillId="0" borderId="0" xfId="1" applyNumberFormat="1" applyFont="1" applyBorder="1"/>
    <xf numFmtId="164" fontId="7" fillId="0" borderId="5" xfId="1" applyNumberFormat="1" applyFont="1" applyBorder="1"/>
    <xf numFmtId="0" fontId="7" fillId="0" borderId="16" xfId="0" applyFont="1" applyBorder="1"/>
    <xf numFmtId="164" fontId="0" fillId="0" borderId="15" xfId="1" applyNumberFormat="1" applyFont="1" applyBorder="1"/>
    <xf numFmtId="164" fontId="6" fillId="0" borderId="0" xfId="1" applyNumberFormat="1"/>
    <xf numFmtId="164" fontId="0" fillId="0" borderId="6" xfId="1" applyNumberFormat="1" applyFont="1" applyBorder="1"/>
    <xf numFmtId="164" fontId="0" fillId="0" borderId="0" xfId="1" applyNumberFormat="1" applyFont="1" applyAlignment="1">
      <alignment horizontal="center" vertical="center"/>
    </xf>
    <xf numFmtId="0" fontId="0" fillId="0" borderId="0" xfId="0" applyAlignment="1">
      <alignment horizontal="center" vertical="center"/>
    </xf>
    <xf numFmtId="0" fontId="7" fillId="0" borderId="5" xfId="0" applyFont="1" applyBorder="1"/>
    <xf numFmtId="0" fontId="7" fillId="0" borderId="2" xfId="0" applyFont="1" applyBorder="1"/>
    <xf numFmtId="0" fontId="0" fillId="0" borderId="16" xfId="0" applyBorder="1"/>
    <xf numFmtId="164" fontId="0" fillId="0" borderId="0" xfId="1" applyNumberFormat="1" applyFont="1" applyBorder="1"/>
    <xf numFmtId="0" fontId="6" fillId="0" borderId="11" xfId="4" applyBorder="1"/>
    <xf numFmtId="164" fontId="6" fillId="0" borderId="5" xfId="1" applyNumberFormat="1" applyBorder="1"/>
    <xf numFmtId="0" fontId="0" fillId="0" borderId="11" xfId="0" applyFont="1" applyBorder="1"/>
    <xf numFmtId="0" fontId="0" fillId="0" borderId="4" xfId="0" applyBorder="1" applyAlignment="1">
      <alignment horizontal="center"/>
    </xf>
    <xf numFmtId="0" fontId="6" fillId="0" borderId="3" xfId="3" applyBorder="1"/>
    <xf numFmtId="0" fontId="6" fillId="0" borderId="5" xfId="3" applyBorder="1"/>
    <xf numFmtId="0" fontId="7" fillId="0" borderId="0" xfId="0" applyFont="1" applyBorder="1"/>
    <xf numFmtId="0" fontId="0" fillId="0" borderId="0" xfId="0" applyBorder="1" applyAlignment="1">
      <alignment horizontal="center"/>
    </xf>
    <xf numFmtId="0" fontId="8" fillId="0" borderId="0" xfId="0" applyFont="1" applyBorder="1" applyAlignment="1">
      <alignment horizontal="center"/>
    </xf>
    <xf numFmtId="164" fontId="0" fillId="0" borderId="0" xfId="1" applyNumberFormat="1" applyFont="1" applyAlignment="1">
      <alignment horizontal="center"/>
    </xf>
    <xf numFmtId="0" fontId="10" fillId="0" borderId="0" xfId="0" applyFont="1"/>
    <xf numFmtId="164" fontId="0" fillId="0" borderId="0" xfId="1" applyNumberFormat="1" applyFont="1" applyFill="1" applyBorder="1"/>
    <xf numFmtId="164" fontId="0" fillId="0" borderId="0" xfId="1" applyNumberFormat="1" applyFont="1" applyBorder="1" applyAlignment="1">
      <alignment horizontal="center" vertical="center"/>
    </xf>
    <xf numFmtId="164" fontId="0" fillId="0" borderId="2" xfId="1" applyNumberFormat="1" applyFont="1" applyBorder="1" applyAlignment="1">
      <alignment horizontal="center" vertical="center"/>
    </xf>
    <xf numFmtId="0" fontId="11" fillId="0" borderId="0" xfId="0" applyFont="1" applyBorder="1" applyAlignment="1">
      <alignment horizontal="center"/>
    </xf>
    <xf numFmtId="0" fontId="12" fillId="0" borderId="0" xfId="0" applyFont="1"/>
    <xf numFmtId="16" fontId="11" fillId="0" borderId="0" xfId="0" quotePrefix="1" applyNumberFormat="1" applyFont="1" applyBorder="1" applyAlignment="1">
      <alignment horizontal="center"/>
    </xf>
    <xf numFmtId="16" fontId="11" fillId="0" borderId="0" xfId="0" quotePrefix="1" applyNumberFormat="1" applyFont="1" applyFill="1" applyBorder="1" applyAlignment="1">
      <alignment horizontal="center"/>
    </xf>
    <xf numFmtId="164" fontId="12" fillId="0" borderId="0" xfId="1" applyNumberFormat="1" applyFont="1"/>
    <xf numFmtId="164" fontId="12" fillId="0" borderId="0" xfId="1" applyNumberFormat="1" applyFont="1" applyBorder="1"/>
    <xf numFmtId="164" fontId="6" fillId="0" borderId="17" xfId="1" applyNumberFormat="1" applyFont="1" applyBorder="1"/>
    <xf numFmtId="16" fontId="7" fillId="0" borderId="2" xfId="0" applyNumberFormat="1" applyFont="1" applyBorder="1" applyAlignment="1">
      <alignment horizontal="center"/>
    </xf>
    <xf numFmtId="0" fontId="6" fillId="0" borderId="11" xfId="3" applyFill="1" applyBorder="1"/>
    <xf numFmtId="164" fontId="6" fillId="0" borderId="12" xfId="1" applyNumberFormat="1" applyFont="1" applyBorder="1"/>
    <xf numFmtId="0" fontId="7" fillId="0" borderId="5" xfId="0" applyFont="1" applyBorder="1" applyAlignment="1">
      <alignment horizontal="center"/>
    </xf>
    <xf numFmtId="0" fontId="6" fillId="0" borderId="3" xfId="3" applyFill="1" applyBorder="1"/>
    <xf numFmtId="0" fontId="7" fillId="0" borderId="5" xfId="3" applyFont="1" applyBorder="1"/>
    <xf numFmtId="0" fontId="7" fillId="0" borderId="2" xfId="3" applyFont="1" applyBorder="1"/>
    <xf numFmtId="164" fontId="0" fillId="0" borderId="19" xfId="1" applyNumberFormat="1" applyFont="1" applyBorder="1"/>
    <xf numFmtId="164" fontId="0" fillId="0" borderId="17" xfId="1" applyNumberFormat="1" applyFont="1" applyBorder="1"/>
    <xf numFmtId="0" fontId="6" fillId="0" borderId="11" xfId="3" applyFont="1" applyBorder="1"/>
    <xf numFmtId="0" fontId="0" fillId="0" borderId="18" xfId="0" applyBorder="1"/>
    <xf numFmtId="0" fontId="6" fillId="0" borderId="0" xfId="2" applyFont="1" applyBorder="1" applyAlignment="1">
      <alignment horizontal="right"/>
    </xf>
    <xf numFmtId="164" fontId="0" fillId="0" borderId="17" xfId="0" applyNumberFormat="1" applyBorder="1"/>
    <xf numFmtId="0" fontId="0" fillId="0" borderId="17" xfId="0" applyBorder="1"/>
    <xf numFmtId="0" fontId="0" fillId="0" borderId="0" xfId="0" applyAlignment="1">
      <alignment horizontal="right" vertical="center"/>
    </xf>
    <xf numFmtId="0" fontId="0" fillId="0" borderId="11" xfId="0" applyFill="1" applyBorder="1"/>
    <xf numFmtId="164" fontId="6" fillId="0" borderId="19" xfId="1" applyNumberFormat="1" applyFont="1" applyBorder="1"/>
    <xf numFmtId="0" fontId="0" fillId="0" borderId="0" xfId="3" applyFont="1" applyFill="1" applyBorder="1"/>
    <xf numFmtId="0" fontId="7" fillId="0" borderId="18" xfId="0" applyFont="1" applyBorder="1"/>
    <xf numFmtId="0" fontId="0" fillId="0" borderId="0" xfId="0" applyFont="1" applyBorder="1"/>
    <xf numFmtId="14" fontId="6" fillId="0" borderId="2" xfId="3" applyNumberFormat="1" applyBorder="1" applyAlignment="1">
      <alignment horizontal="center"/>
    </xf>
    <xf numFmtId="14" fontId="0" fillId="0" borderId="2" xfId="3" applyNumberFormat="1" applyFont="1" applyBorder="1" applyAlignment="1">
      <alignment horizontal="center"/>
    </xf>
    <xf numFmtId="0" fontId="7" fillId="0" borderId="2" xfId="0" applyFont="1" applyFill="1" applyBorder="1" applyAlignment="1">
      <alignment horizontal="center"/>
    </xf>
    <xf numFmtId="0" fontId="6" fillId="0" borderId="4" xfId="3" applyFont="1" applyBorder="1"/>
    <xf numFmtId="0" fontId="0" fillId="0" borderId="19" xfId="0" applyBorder="1"/>
    <xf numFmtId="164" fontId="0" fillId="0" borderId="0" xfId="0" applyNumberFormat="1" applyFill="1" applyBorder="1"/>
    <xf numFmtId="0" fontId="7" fillId="0" borderId="18" xfId="3" applyFont="1" applyBorder="1"/>
    <xf numFmtId="21" fontId="0" fillId="0" borderId="0" xfId="0" applyNumberFormat="1"/>
    <xf numFmtId="0" fontId="0" fillId="0" borderId="0" xfId="0"/>
    <xf numFmtId="0" fontId="9" fillId="0" borderId="0" xfId="0" applyFont="1" applyFill="1" applyBorder="1" applyAlignment="1">
      <alignment vertical="center" wrapText="1"/>
    </xf>
    <xf numFmtId="0" fontId="9" fillId="0" borderId="0" xfId="0" applyFont="1"/>
    <xf numFmtId="0" fontId="7" fillId="0" borderId="2" xfId="2" applyFont="1" applyAlignment="1">
      <alignment horizontal="right"/>
    </xf>
    <xf numFmtId="0" fontId="7" fillId="0" borderId="11" xfId="0" applyFont="1" applyBorder="1" applyAlignment="1">
      <alignment horizontal="center"/>
    </xf>
    <xf numFmtId="16" fontId="0" fillId="0" borderId="2" xfId="0" applyNumberFormat="1" applyBorder="1" applyAlignment="1">
      <alignment horizontal="center"/>
    </xf>
    <xf numFmtId="0" fontId="7" fillId="0" borderId="17" xfId="0" applyFont="1" applyBorder="1"/>
    <xf numFmtId="0" fontId="6" fillId="0" borderId="5" xfId="3" applyBorder="1" applyAlignment="1">
      <alignment horizontal="center"/>
    </xf>
    <xf numFmtId="0" fontId="6" fillId="0" borderId="2" xfId="3" applyBorder="1" applyAlignment="1">
      <alignment horizontal="center"/>
    </xf>
    <xf numFmtId="0" fontId="7" fillId="0" borderId="2" xfId="2" applyFont="1" applyBorder="1" applyAlignment="1">
      <alignment horizontal="center"/>
    </xf>
    <xf numFmtId="0" fontId="6" fillId="0" borderId="2" xfId="3" applyFill="1" applyBorder="1" applyAlignment="1">
      <alignment horizontal="center"/>
    </xf>
    <xf numFmtId="0" fontId="7" fillId="0" borderId="2" xfId="3" applyFont="1" applyFill="1" applyBorder="1" applyAlignment="1">
      <alignment horizontal="center"/>
    </xf>
    <xf numFmtId="0" fontId="6" fillId="0" borderId="0" xfId="3" applyFill="1" applyBorder="1"/>
    <xf numFmtId="0" fontId="7" fillId="0" borderId="11" xfId="3" applyFont="1" applyFill="1" applyBorder="1"/>
    <xf numFmtId="164" fontId="7" fillId="0" borderId="0" xfId="0" applyNumberFormat="1" applyFont="1"/>
    <xf numFmtId="164" fontId="0" fillId="0" borderId="0" xfId="0" applyNumberFormat="1" applyFont="1"/>
    <xf numFmtId="0" fontId="7" fillId="0" borderId="4" xfId="4" applyFont="1" applyBorder="1"/>
    <xf numFmtId="16" fontId="6" fillId="0" borderId="5" xfId="3" applyNumberFormat="1" applyBorder="1" applyAlignment="1">
      <alignment horizontal="center"/>
    </xf>
    <xf numFmtId="16" fontId="6" fillId="0" borderId="2" xfId="3" applyNumberFormat="1" applyBorder="1" applyAlignment="1">
      <alignment horizontal="center"/>
    </xf>
    <xf numFmtId="16" fontId="0" fillId="0" borderId="2" xfId="3" applyNumberFormat="1" applyFont="1" applyBorder="1" applyAlignment="1">
      <alignment horizontal="center"/>
    </xf>
    <xf numFmtId="16" fontId="6" fillId="0" borderId="2" xfId="3" applyNumberFormat="1" applyFill="1" applyBorder="1" applyAlignment="1">
      <alignment horizontal="center"/>
    </xf>
    <xf numFmtId="16" fontId="0" fillId="0" borderId="2" xfId="0" applyNumberFormat="1" applyBorder="1"/>
    <xf numFmtId="0" fontId="9" fillId="0" borderId="0" xfId="0" applyFont="1" applyBorder="1" applyAlignment="1">
      <alignment vertical="center" wrapText="1"/>
    </xf>
    <xf numFmtId="0" fontId="9" fillId="0" borderId="0" xfId="0" applyFont="1" applyBorder="1" applyAlignment="1">
      <alignment horizontal="center" vertical="center" textRotation="255" wrapText="1"/>
    </xf>
    <xf numFmtId="164" fontId="0" fillId="0" borderId="18" xfId="1" applyNumberFormat="1" applyFont="1" applyBorder="1"/>
    <xf numFmtId="164" fontId="0" fillId="0" borderId="11" xfId="1" applyNumberFormat="1" applyFont="1" applyBorder="1"/>
    <xf numFmtId="0" fontId="0" fillId="0" borderId="2" xfId="0" applyFill="1" applyBorder="1"/>
    <xf numFmtId="0" fontId="10" fillId="0" borderId="11" xfId="3" applyFont="1" applyFill="1" applyBorder="1"/>
    <xf numFmtId="164" fontId="0" fillId="0" borderId="0" xfId="1" applyNumberFormat="1" applyFont="1" applyFill="1"/>
    <xf numFmtId="0" fontId="6" fillId="0" borderId="3" xfId="3" applyFill="1"/>
    <xf numFmtId="164" fontId="10" fillId="0" borderId="0" xfId="1" applyNumberFormat="1" applyFont="1" applyFill="1"/>
    <xf numFmtId="0" fontId="10" fillId="0" borderId="3" xfId="3" applyFont="1" applyFill="1" applyBorder="1"/>
    <xf numFmtId="164" fontId="6" fillId="0" borderId="20" xfId="1" applyNumberFormat="1" applyBorder="1"/>
    <xf numFmtId="165" fontId="0" fillId="0" borderId="0" xfId="1" applyNumberFormat="1" applyFont="1"/>
    <xf numFmtId="0" fontId="7" fillId="0" borderId="18" xfId="3" applyFont="1" applyFill="1" applyBorder="1"/>
    <xf numFmtId="0" fontId="9"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9" fillId="0" borderId="25" xfId="0" applyFont="1" applyBorder="1" applyAlignment="1">
      <alignment vertical="center" wrapText="1"/>
    </xf>
    <xf numFmtId="0" fontId="9" fillId="0" borderId="26" xfId="0" applyFont="1" applyBorder="1" applyAlignment="1">
      <alignment horizontal="center" vertical="center" wrapText="1"/>
    </xf>
    <xf numFmtId="0" fontId="9" fillId="0" borderId="26" xfId="0" applyFont="1" applyBorder="1" applyAlignment="1">
      <alignment horizontal="center" vertical="center" textRotation="255" wrapText="1"/>
    </xf>
    <xf numFmtId="3" fontId="9" fillId="0" borderId="26" xfId="0" applyNumberFormat="1" applyFont="1" applyBorder="1" applyAlignment="1">
      <alignment horizontal="center" vertical="center" wrapText="1"/>
    </xf>
    <xf numFmtId="3" fontId="9" fillId="0" borderId="0" xfId="0" applyNumberFormat="1" applyFont="1" applyBorder="1" applyAlignment="1">
      <alignment horizontal="center" vertical="center" wrapText="1"/>
    </xf>
    <xf numFmtId="164" fontId="0" fillId="0" borderId="19" xfId="0" applyNumberFormat="1" applyBorder="1"/>
    <xf numFmtId="0" fontId="0" fillId="0" borderId="12" xfId="0" applyBorder="1"/>
    <xf numFmtId="3" fontId="9" fillId="0" borderId="0" xfId="0" applyNumberFormat="1" applyFont="1" applyFill="1" applyBorder="1" applyAlignment="1">
      <alignment horizontal="center" vertical="center" wrapText="1"/>
    </xf>
    <xf numFmtId="0" fontId="9" fillId="0" borderId="12" xfId="0" applyFont="1" applyBorder="1" applyAlignment="1">
      <alignment horizontal="right" vertical="center" textRotation="255" wrapText="1"/>
    </xf>
    <xf numFmtId="3" fontId="9" fillId="0" borderId="17" xfId="0" applyNumberFormat="1" applyFont="1" applyBorder="1" applyAlignment="1">
      <alignment horizontal="right" vertical="center" wrapText="1"/>
    </xf>
    <xf numFmtId="3" fontId="9" fillId="0" borderId="17" xfId="0" applyNumberFormat="1" applyFont="1" applyFill="1" applyBorder="1" applyAlignment="1">
      <alignment horizontal="right" vertical="center" wrapText="1"/>
    </xf>
    <xf numFmtId="164" fontId="0" fillId="0" borderId="3" xfId="1" applyNumberFormat="1" applyFont="1" applyBorder="1"/>
    <xf numFmtId="0" fontId="0" fillId="0" borderId="0" xfId="0" applyFont="1" applyFill="1" applyBorder="1"/>
    <xf numFmtId="0" fontId="7" fillId="0" borderId="4" xfId="4" applyFont="1" applyAlignment="1">
      <alignment horizontal="center"/>
    </xf>
    <xf numFmtId="0" fontId="7" fillId="0" borderId="5" xfId="4" applyFont="1" applyBorder="1" applyAlignment="1">
      <alignment horizontal="center"/>
    </xf>
    <xf numFmtId="0" fontId="7" fillId="0" borderId="2" xfId="4" applyFont="1" applyBorder="1" applyAlignment="1">
      <alignment horizontal="center"/>
    </xf>
    <xf numFmtId="164" fontId="0" fillId="0" borderId="0" xfId="0" applyNumberFormat="1" applyBorder="1"/>
    <xf numFmtId="43" fontId="0" fillId="0" borderId="0" xfId="1" applyFont="1"/>
    <xf numFmtId="0" fontId="7" fillId="0" borderId="4" xfId="3" applyFont="1" applyBorder="1"/>
    <xf numFmtId="0" fontId="7" fillId="0" borderId="2" xfId="0" applyFont="1" applyFill="1" applyBorder="1"/>
    <xf numFmtId="164" fontId="0" fillId="0" borderId="18" xfId="1" applyNumberFormat="1" applyFont="1" applyBorder="1" applyAlignment="1">
      <alignment horizontal="left"/>
    </xf>
    <xf numFmtId="164" fontId="0" fillId="0" borderId="11" xfId="1" applyNumberFormat="1" applyFont="1" applyBorder="1" applyAlignment="1">
      <alignment horizontal="left"/>
    </xf>
    <xf numFmtId="0" fontId="0" fillId="0" borderId="3" xfId="0" applyBorder="1" applyAlignment="1">
      <alignment horizontal="left"/>
    </xf>
    <xf numFmtId="0" fontId="15" fillId="2" borderId="28"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0" fillId="0" borderId="11" xfId="0" applyBorder="1" applyAlignment="1">
      <alignment horizontal="left"/>
    </xf>
    <xf numFmtId="164" fontId="0" fillId="0" borderId="3" xfId="1" applyNumberFormat="1" applyFont="1" applyBorder="1" applyAlignment="1">
      <alignment horizontal="left"/>
    </xf>
    <xf numFmtId="0" fontId="8" fillId="0" borderId="18" xfId="3" applyFont="1" applyFill="1" applyBorder="1"/>
    <xf numFmtId="165" fontId="0" fillId="0" borderId="0" xfId="1" applyNumberFormat="1" applyFont="1" applyBorder="1"/>
    <xf numFmtId="43" fontId="0" fillId="0" borderId="0" xfId="0" applyNumberFormat="1"/>
    <xf numFmtId="164" fontId="0" fillId="0" borderId="0" xfId="0" applyNumberFormat="1" applyAlignment="1">
      <alignment horizontal="center" vertical="center"/>
    </xf>
    <xf numFmtId="164" fontId="0" fillId="0" borderId="0" xfId="1" applyNumberFormat="1" applyFont="1" applyAlignment="1"/>
    <xf numFmtId="164" fontId="0" fillId="0" borderId="0" xfId="1" applyNumberFormat="1" applyFont="1" applyBorder="1" applyAlignment="1"/>
    <xf numFmtId="164" fontId="0" fillId="0" borderId="17" xfId="1" applyNumberFormat="1" applyFont="1" applyBorder="1" applyAlignment="1"/>
    <xf numFmtId="0" fontId="6" fillId="0" borderId="18" xfId="3" applyBorder="1"/>
    <xf numFmtId="0" fontId="0" fillId="0" borderId="11" xfId="3" applyFont="1" applyBorder="1"/>
    <xf numFmtId="16" fontId="7" fillId="0" borderId="4" xfId="4" applyNumberFormat="1" applyFont="1"/>
    <xf numFmtId="0" fontId="7" fillId="0" borderId="2" xfId="3" applyFont="1" applyBorder="1" applyAlignment="1">
      <alignment horizontal="center"/>
    </xf>
    <xf numFmtId="164" fontId="6" fillId="0" borderId="0" xfId="1" applyNumberFormat="1" applyBorder="1" applyAlignment="1"/>
    <xf numFmtId="164" fontId="6" fillId="0" borderId="0" xfId="1" applyNumberFormat="1" applyFont="1" applyBorder="1" applyAlignment="1"/>
    <xf numFmtId="166" fontId="0" fillId="0" borderId="0" xfId="5" applyNumberFormat="1" applyFont="1" applyAlignment="1">
      <alignment horizontal="center" vertical="center"/>
    </xf>
    <xf numFmtId="0" fontId="0" fillId="0" borderId="29" xfId="0" applyBorder="1"/>
    <xf numFmtId="0" fontId="0" fillId="0" borderId="5" xfId="0" applyBorder="1" applyAlignment="1">
      <alignment horizontal="center"/>
    </xf>
    <xf numFmtId="0" fontId="0" fillId="0" borderId="20" xfId="0" applyBorder="1" applyAlignment="1">
      <alignment horizontal="center"/>
    </xf>
    <xf numFmtId="16" fontId="15" fillId="2" borderId="24" xfId="0" applyNumberFormat="1" applyFont="1" applyFill="1" applyBorder="1" applyAlignment="1">
      <alignment horizontal="center" vertical="center" wrapText="1"/>
    </xf>
    <xf numFmtId="0" fontId="15" fillId="2" borderId="25" xfId="0" applyFont="1" applyFill="1" applyBorder="1" applyAlignment="1">
      <alignment horizontal="center" vertical="center" wrapText="1"/>
    </xf>
    <xf numFmtId="16" fontId="15" fillId="2" borderId="25" xfId="0" applyNumberFormat="1" applyFont="1" applyFill="1" applyBorder="1" applyAlignment="1">
      <alignment horizontal="center" vertical="center" wrapText="1"/>
    </xf>
    <xf numFmtId="0" fontId="16" fillId="0" borderId="24"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9" fillId="0" borderId="25" xfId="0" applyFont="1" applyBorder="1" applyAlignment="1">
      <alignment horizontal="center" vertical="center" textRotation="255" wrapText="1"/>
    </xf>
    <xf numFmtId="0" fontId="13" fillId="0" borderId="21" xfId="0" applyFont="1" applyBorder="1" applyAlignment="1">
      <alignment horizontal="center"/>
    </xf>
    <xf numFmtId="0" fontId="13" fillId="0" borderId="22" xfId="0" applyFont="1" applyBorder="1" applyAlignment="1">
      <alignment horizontal="center"/>
    </xf>
    <xf numFmtId="0" fontId="13" fillId="0" borderId="23" xfId="0" applyFont="1" applyBorder="1" applyAlignment="1">
      <alignment horizontal="center"/>
    </xf>
    <xf numFmtId="0" fontId="14" fillId="0" borderId="21" xfId="0" applyFont="1" applyBorder="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cellXfs>
  <cellStyles count="6">
    <cellStyle name="Comma" xfId="1" builtinId="3"/>
    <cellStyle name="Normal" xfId="0" builtinId="0"/>
    <cellStyle name="Percent" xfId="5" builtinId="5"/>
    <cellStyle name="Style 1" xfId="2" xr:uid="{00000000-0005-0000-0000-000003000000}"/>
    <cellStyle name="Style 2" xfId="3" xr:uid="{00000000-0005-0000-0000-000004000000}"/>
    <cellStyle name="Style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'Homer Spit 2019'!$AW$6</c:f>
              <c:strCache>
                <c:ptCount val="1"/>
                <c:pt idx="0">
                  <c:v>All Sites</c:v>
                </c:pt>
              </c:strCache>
            </c:strRef>
          </c:tx>
          <c:marker>
            <c:symbol val="none"/>
          </c:marker>
          <c:cat>
            <c:numRef>
              <c:f>'Homer Spit 2019'!$AX$5:$BF$5</c:f>
              <c:numCache>
                <c:formatCode>m/d/yyyy</c:formatCode>
                <c:ptCount val="9"/>
                <c:pt idx="0">
                  <c:v>43568</c:v>
                </c:pt>
                <c:pt idx="1">
                  <c:v>43573</c:v>
                </c:pt>
                <c:pt idx="2">
                  <c:v>43578</c:v>
                </c:pt>
                <c:pt idx="3">
                  <c:v>43583</c:v>
                </c:pt>
                <c:pt idx="4">
                  <c:v>43588</c:v>
                </c:pt>
                <c:pt idx="5">
                  <c:v>43593</c:v>
                </c:pt>
                <c:pt idx="6">
                  <c:v>43598</c:v>
                </c:pt>
                <c:pt idx="7">
                  <c:v>43603</c:v>
                </c:pt>
                <c:pt idx="8">
                  <c:v>43608</c:v>
                </c:pt>
              </c:numCache>
            </c:numRef>
          </c:cat>
          <c:val>
            <c:numRef>
              <c:f>'Homer Spit 2019'!$AX$6:$BF$6</c:f>
              <c:numCache>
                <c:formatCode>_(* #,##0_);_(* \(#,##0\);_(* "-"??_);_(@_)</c:formatCode>
                <c:ptCount val="9"/>
                <c:pt idx="0">
                  <c:v>2</c:v>
                </c:pt>
                <c:pt idx="1">
                  <c:v>40</c:v>
                </c:pt>
                <c:pt idx="2">
                  <c:v>89</c:v>
                </c:pt>
                <c:pt idx="3">
                  <c:v>65</c:v>
                </c:pt>
                <c:pt idx="4">
                  <c:v>769</c:v>
                </c:pt>
                <c:pt idx="5">
                  <c:v>3809</c:v>
                </c:pt>
                <c:pt idx="6">
                  <c:v>1521</c:v>
                </c:pt>
                <c:pt idx="7">
                  <c:v>1251</c:v>
                </c:pt>
                <c:pt idx="8">
                  <c:v>1077</c:v>
                </c:pt>
              </c:numCache>
            </c:numRef>
          </c:val>
          <c:smooth val="0"/>
          <c:extLst>
            <c:ext xmlns:c16="http://schemas.microsoft.com/office/drawing/2014/chart" uri="{C3380CC4-5D6E-409C-BE32-E72D297353CC}">
              <c16:uniqueId val="{00000000-E63F-4F8A-A0F7-2BABEDDAD95E}"/>
            </c:ext>
          </c:extLst>
        </c:ser>
        <c:ser>
          <c:idx val="1"/>
          <c:order val="1"/>
          <c:tx>
            <c:strRef>
              <c:f>'Homer Spit 2019'!$AW$7</c:f>
              <c:strCache>
                <c:ptCount val="1"/>
                <c:pt idx="0">
                  <c:v>Mud Bay</c:v>
                </c:pt>
              </c:strCache>
            </c:strRef>
          </c:tx>
          <c:marker>
            <c:symbol val="none"/>
          </c:marker>
          <c:cat>
            <c:numRef>
              <c:f>'Homer Spit 2019'!$AX$5:$BF$5</c:f>
              <c:numCache>
                <c:formatCode>m/d/yyyy</c:formatCode>
                <c:ptCount val="9"/>
                <c:pt idx="0">
                  <c:v>43568</c:v>
                </c:pt>
                <c:pt idx="1">
                  <c:v>43573</c:v>
                </c:pt>
                <c:pt idx="2">
                  <c:v>43578</c:v>
                </c:pt>
                <c:pt idx="3">
                  <c:v>43583</c:v>
                </c:pt>
                <c:pt idx="4">
                  <c:v>43588</c:v>
                </c:pt>
                <c:pt idx="5">
                  <c:v>43593</c:v>
                </c:pt>
                <c:pt idx="6">
                  <c:v>43598</c:v>
                </c:pt>
                <c:pt idx="7">
                  <c:v>43603</c:v>
                </c:pt>
                <c:pt idx="8">
                  <c:v>43608</c:v>
                </c:pt>
              </c:numCache>
            </c:numRef>
          </c:cat>
          <c:val>
            <c:numRef>
              <c:f>'Homer Spit 2019'!$AX$7:$BF$7</c:f>
              <c:numCache>
                <c:formatCode>_(* #,##0_);_(* \(#,##0\);_(* "-"??_);_(@_)</c:formatCode>
                <c:ptCount val="9"/>
                <c:pt idx="0">
                  <c:v>0</c:v>
                </c:pt>
                <c:pt idx="1">
                  <c:v>0</c:v>
                </c:pt>
                <c:pt idx="2">
                  <c:v>14</c:v>
                </c:pt>
                <c:pt idx="3">
                  <c:v>6</c:v>
                </c:pt>
                <c:pt idx="4">
                  <c:v>197</c:v>
                </c:pt>
                <c:pt idx="5">
                  <c:v>1280</c:v>
                </c:pt>
                <c:pt idx="6">
                  <c:v>177</c:v>
                </c:pt>
                <c:pt idx="7">
                  <c:v>88</c:v>
                </c:pt>
                <c:pt idx="8">
                  <c:v>9</c:v>
                </c:pt>
              </c:numCache>
            </c:numRef>
          </c:val>
          <c:smooth val="0"/>
          <c:extLst>
            <c:ext xmlns:c16="http://schemas.microsoft.com/office/drawing/2014/chart" uri="{C3380CC4-5D6E-409C-BE32-E72D297353CC}">
              <c16:uniqueId val="{00000001-E63F-4F8A-A0F7-2BABEDDAD95E}"/>
            </c:ext>
          </c:extLst>
        </c:ser>
        <c:ser>
          <c:idx val="2"/>
          <c:order val="2"/>
          <c:tx>
            <c:strRef>
              <c:f>'Homer Spit 2019'!$AW$8</c:f>
              <c:strCache>
                <c:ptCount val="1"/>
                <c:pt idx="0">
                  <c:v>Mariner Park Lagoon</c:v>
                </c:pt>
              </c:strCache>
            </c:strRef>
          </c:tx>
          <c:marker>
            <c:symbol val="none"/>
          </c:marker>
          <c:cat>
            <c:numRef>
              <c:f>'Homer Spit 2019'!$AX$5:$BF$5</c:f>
              <c:numCache>
                <c:formatCode>m/d/yyyy</c:formatCode>
                <c:ptCount val="9"/>
                <c:pt idx="0">
                  <c:v>43568</c:v>
                </c:pt>
                <c:pt idx="1">
                  <c:v>43573</c:v>
                </c:pt>
                <c:pt idx="2">
                  <c:v>43578</c:v>
                </c:pt>
                <c:pt idx="3">
                  <c:v>43583</c:v>
                </c:pt>
                <c:pt idx="4">
                  <c:v>43588</c:v>
                </c:pt>
                <c:pt idx="5">
                  <c:v>43593</c:v>
                </c:pt>
                <c:pt idx="6">
                  <c:v>43598</c:v>
                </c:pt>
                <c:pt idx="7">
                  <c:v>43603</c:v>
                </c:pt>
                <c:pt idx="8">
                  <c:v>43608</c:v>
                </c:pt>
              </c:numCache>
            </c:numRef>
          </c:cat>
          <c:val>
            <c:numRef>
              <c:f>'Homer Spit 2019'!$AX$8:$BF$8</c:f>
              <c:numCache>
                <c:formatCode>_(* #,##0_);_(* \(#,##0\);_(* "-"??_);_(@_)</c:formatCode>
                <c:ptCount val="9"/>
                <c:pt idx="0">
                  <c:v>0</c:v>
                </c:pt>
                <c:pt idx="1">
                  <c:v>0</c:v>
                </c:pt>
                <c:pt idx="2">
                  <c:v>18</c:v>
                </c:pt>
                <c:pt idx="3">
                  <c:v>0</c:v>
                </c:pt>
                <c:pt idx="4">
                  <c:v>0</c:v>
                </c:pt>
                <c:pt idx="5">
                  <c:v>91</c:v>
                </c:pt>
                <c:pt idx="6">
                  <c:v>162</c:v>
                </c:pt>
                <c:pt idx="7">
                  <c:v>85</c:v>
                </c:pt>
                <c:pt idx="8">
                  <c:v>0</c:v>
                </c:pt>
              </c:numCache>
            </c:numRef>
          </c:val>
          <c:smooth val="0"/>
          <c:extLst>
            <c:ext xmlns:c16="http://schemas.microsoft.com/office/drawing/2014/chart" uri="{C3380CC4-5D6E-409C-BE32-E72D297353CC}">
              <c16:uniqueId val="{00000002-E63F-4F8A-A0F7-2BABEDDAD95E}"/>
            </c:ext>
          </c:extLst>
        </c:ser>
        <c:ser>
          <c:idx val="3"/>
          <c:order val="3"/>
          <c:tx>
            <c:strRef>
              <c:f>'Homer Spit 2019'!$AW$9</c:f>
              <c:strCache>
                <c:ptCount val="1"/>
                <c:pt idx="0">
                  <c:v>Mid-Spit</c:v>
                </c:pt>
              </c:strCache>
            </c:strRef>
          </c:tx>
          <c:marker>
            <c:symbol val="none"/>
          </c:marker>
          <c:cat>
            <c:numRef>
              <c:f>'Homer Spit 2019'!$AX$5:$BF$5</c:f>
              <c:numCache>
                <c:formatCode>m/d/yyyy</c:formatCode>
                <c:ptCount val="9"/>
                <c:pt idx="0">
                  <c:v>43568</c:v>
                </c:pt>
                <c:pt idx="1">
                  <c:v>43573</c:v>
                </c:pt>
                <c:pt idx="2">
                  <c:v>43578</c:v>
                </c:pt>
                <c:pt idx="3">
                  <c:v>43583</c:v>
                </c:pt>
                <c:pt idx="4">
                  <c:v>43588</c:v>
                </c:pt>
                <c:pt idx="5">
                  <c:v>43593</c:v>
                </c:pt>
                <c:pt idx="6">
                  <c:v>43598</c:v>
                </c:pt>
                <c:pt idx="7">
                  <c:v>43603</c:v>
                </c:pt>
                <c:pt idx="8">
                  <c:v>43608</c:v>
                </c:pt>
              </c:numCache>
            </c:numRef>
          </c:cat>
          <c:val>
            <c:numRef>
              <c:f>'Homer Spit 2019'!$AX$9:$BF$9</c:f>
              <c:numCache>
                <c:formatCode>_(* #,##0_);_(* \(#,##0\);_(* "-"??_);_(@_)</c:formatCode>
                <c:ptCount val="9"/>
                <c:pt idx="0">
                  <c:v>2</c:v>
                </c:pt>
                <c:pt idx="1">
                  <c:v>25</c:v>
                </c:pt>
                <c:pt idx="2">
                  <c:v>44</c:v>
                </c:pt>
                <c:pt idx="3">
                  <c:v>11</c:v>
                </c:pt>
                <c:pt idx="4">
                  <c:v>514</c:v>
                </c:pt>
                <c:pt idx="5">
                  <c:v>962</c:v>
                </c:pt>
                <c:pt idx="6">
                  <c:v>639</c:v>
                </c:pt>
                <c:pt idx="7">
                  <c:v>391</c:v>
                </c:pt>
                <c:pt idx="8">
                  <c:v>53</c:v>
                </c:pt>
              </c:numCache>
            </c:numRef>
          </c:val>
          <c:smooth val="0"/>
          <c:extLst>
            <c:ext xmlns:c16="http://schemas.microsoft.com/office/drawing/2014/chart" uri="{C3380CC4-5D6E-409C-BE32-E72D297353CC}">
              <c16:uniqueId val="{00000003-E63F-4F8A-A0F7-2BABEDDAD95E}"/>
            </c:ext>
          </c:extLst>
        </c:ser>
        <c:ser>
          <c:idx val="4"/>
          <c:order val="4"/>
          <c:tx>
            <c:strRef>
              <c:f>'Homer Spit 2019'!$AW$10</c:f>
              <c:strCache>
                <c:ptCount val="1"/>
                <c:pt idx="0">
                  <c:v>Outer Spit</c:v>
                </c:pt>
              </c:strCache>
            </c:strRef>
          </c:tx>
          <c:marker>
            <c:symbol val="none"/>
          </c:marker>
          <c:cat>
            <c:numRef>
              <c:f>'Homer Spit 2019'!$AX$5:$BF$5</c:f>
              <c:numCache>
                <c:formatCode>m/d/yyyy</c:formatCode>
                <c:ptCount val="9"/>
                <c:pt idx="0">
                  <c:v>43568</c:v>
                </c:pt>
                <c:pt idx="1">
                  <c:v>43573</c:v>
                </c:pt>
                <c:pt idx="2">
                  <c:v>43578</c:v>
                </c:pt>
                <c:pt idx="3">
                  <c:v>43583</c:v>
                </c:pt>
                <c:pt idx="4">
                  <c:v>43588</c:v>
                </c:pt>
                <c:pt idx="5">
                  <c:v>43593</c:v>
                </c:pt>
                <c:pt idx="6">
                  <c:v>43598</c:v>
                </c:pt>
                <c:pt idx="7">
                  <c:v>43603</c:v>
                </c:pt>
                <c:pt idx="8">
                  <c:v>43608</c:v>
                </c:pt>
              </c:numCache>
            </c:numRef>
          </c:cat>
          <c:val>
            <c:numRef>
              <c:f>'Homer Spit 2019'!$AX$10:$BF$10</c:f>
              <c:numCache>
                <c:formatCode>_(* #,##0_);_(* \(#,##0\);_(* "-"??_);_(@_)</c:formatCode>
                <c:ptCount val="9"/>
                <c:pt idx="0">
                  <c:v>0</c:v>
                </c:pt>
                <c:pt idx="1">
                  <c:v>0</c:v>
                </c:pt>
                <c:pt idx="2">
                  <c:v>0</c:v>
                </c:pt>
                <c:pt idx="3">
                  <c:v>2</c:v>
                </c:pt>
                <c:pt idx="4">
                  <c:v>21</c:v>
                </c:pt>
                <c:pt idx="5">
                  <c:v>89</c:v>
                </c:pt>
                <c:pt idx="6">
                  <c:v>17</c:v>
                </c:pt>
                <c:pt idx="7">
                  <c:v>53</c:v>
                </c:pt>
                <c:pt idx="8">
                  <c:v>5</c:v>
                </c:pt>
              </c:numCache>
            </c:numRef>
          </c:val>
          <c:smooth val="0"/>
          <c:extLst>
            <c:ext xmlns:c16="http://schemas.microsoft.com/office/drawing/2014/chart" uri="{C3380CC4-5D6E-409C-BE32-E72D297353CC}">
              <c16:uniqueId val="{00000004-E63F-4F8A-A0F7-2BABEDDAD95E}"/>
            </c:ext>
          </c:extLst>
        </c:ser>
        <c:ser>
          <c:idx val="5"/>
          <c:order val="5"/>
          <c:tx>
            <c:strRef>
              <c:f>'Homer Spit 2019'!$AW$11</c:f>
              <c:strCache>
                <c:ptCount val="1"/>
                <c:pt idx="0">
                  <c:v>Beluga Slough</c:v>
                </c:pt>
              </c:strCache>
            </c:strRef>
          </c:tx>
          <c:marker>
            <c:symbol val="none"/>
          </c:marker>
          <c:cat>
            <c:numRef>
              <c:f>'Homer Spit 2019'!$AX$5:$BF$5</c:f>
              <c:numCache>
                <c:formatCode>m/d/yyyy</c:formatCode>
                <c:ptCount val="9"/>
                <c:pt idx="0">
                  <c:v>43568</c:v>
                </c:pt>
                <c:pt idx="1">
                  <c:v>43573</c:v>
                </c:pt>
                <c:pt idx="2">
                  <c:v>43578</c:v>
                </c:pt>
                <c:pt idx="3">
                  <c:v>43583</c:v>
                </c:pt>
                <c:pt idx="4">
                  <c:v>43588</c:v>
                </c:pt>
                <c:pt idx="5">
                  <c:v>43593</c:v>
                </c:pt>
                <c:pt idx="6">
                  <c:v>43598</c:v>
                </c:pt>
                <c:pt idx="7">
                  <c:v>43603</c:v>
                </c:pt>
                <c:pt idx="8">
                  <c:v>43608</c:v>
                </c:pt>
              </c:numCache>
            </c:numRef>
          </c:cat>
          <c:val>
            <c:numRef>
              <c:f>'Homer Spit 2019'!$AX$11:$BF$11</c:f>
              <c:numCache>
                <c:formatCode>_(* #,##0_);_(* \(#,##0\);_(* "-"??_);_(@_)</c:formatCode>
                <c:ptCount val="9"/>
                <c:pt idx="0">
                  <c:v>0</c:v>
                </c:pt>
                <c:pt idx="1">
                  <c:v>15</c:v>
                </c:pt>
                <c:pt idx="2">
                  <c:v>11</c:v>
                </c:pt>
                <c:pt idx="3">
                  <c:v>7</c:v>
                </c:pt>
                <c:pt idx="4">
                  <c:v>37</c:v>
                </c:pt>
                <c:pt idx="5">
                  <c:v>63</c:v>
                </c:pt>
                <c:pt idx="6">
                  <c:v>219</c:v>
                </c:pt>
                <c:pt idx="7">
                  <c:v>62</c:v>
                </c:pt>
                <c:pt idx="8">
                  <c:v>6</c:v>
                </c:pt>
              </c:numCache>
            </c:numRef>
          </c:val>
          <c:smooth val="0"/>
          <c:extLst>
            <c:ext xmlns:c16="http://schemas.microsoft.com/office/drawing/2014/chart" uri="{C3380CC4-5D6E-409C-BE32-E72D297353CC}">
              <c16:uniqueId val="{00000005-E63F-4F8A-A0F7-2BABEDDAD95E}"/>
            </c:ext>
          </c:extLst>
        </c:ser>
        <c:ser>
          <c:idx val="6"/>
          <c:order val="6"/>
          <c:tx>
            <c:strRef>
              <c:f>'Homer Spit 2019'!$AW$12</c:f>
              <c:strCache>
                <c:ptCount val="1"/>
                <c:pt idx="0">
                  <c:v>Islands and Islets</c:v>
                </c:pt>
              </c:strCache>
            </c:strRef>
          </c:tx>
          <c:marker>
            <c:symbol val="none"/>
          </c:marker>
          <c:cat>
            <c:numRef>
              <c:f>'Homer Spit 2019'!$AX$5:$BF$5</c:f>
              <c:numCache>
                <c:formatCode>m/d/yyyy</c:formatCode>
                <c:ptCount val="9"/>
                <c:pt idx="0">
                  <c:v>43568</c:v>
                </c:pt>
                <c:pt idx="1">
                  <c:v>43573</c:v>
                </c:pt>
                <c:pt idx="2">
                  <c:v>43578</c:v>
                </c:pt>
                <c:pt idx="3">
                  <c:v>43583</c:v>
                </c:pt>
                <c:pt idx="4">
                  <c:v>43588</c:v>
                </c:pt>
                <c:pt idx="5">
                  <c:v>43593</c:v>
                </c:pt>
                <c:pt idx="6">
                  <c:v>43598</c:v>
                </c:pt>
                <c:pt idx="7">
                  <c:v>43603</c:v>
                </c:pt>
                <c:pt idx="8">
                  <c:v>43608</c:v>
                </c:pt>
              </c:numCache>
            </c:numRef>
          </c:cat>
          <c:val>
            <c:numRef>
              <c:f>'Homer Spit 2019'!$AX$12:$BF$12</c:f>
              <c:numCache>
                <c:formatCode>_(* #,##0_);_(* \(#,##0\);_(* "-"??_);_(@_)</c:formatCode>
                <c:ptCount val="9"/>
                <c:pt idx="0">
                  <c:v>0</c:v>
                </c:pt>
                <c:pt idx="1">
                  <c:v>0</c:v>
                </c:pt>
                <c:pt idx="2">
                  <c:v>2</c:v>
                </c:pt>
                <c:pt idx="3">
                  <c:v>39</c:v>
                </c:pt>
                <c:pt idx="4">
                  <c:v>0</c:v>
                </c:pt>
                <c:pt idx="5">
                  <c:v>1324</c:v>
                </c:pt>
                <c:pt idx="6">
                  <c:v>307</c:v>
                </c:pt>
                <c:pt idx="7">
                  <c:v>572</c:v>
                </c:pt>
                <c:pt idx="8">
                  <c:v>1004</c:v>
                </c:pt>
              </c:numCache>
            </c:numRef>
          </c:val>
          <c:smooth val="0"/>
          <c:extLst>
            <c:ext xmlns:c16="http://schemas.microsoft.com/office/drawing/2014/chart" uri="{C3380CC4-5D6E-409C-BE32-E72D297353CC}">
              <c16:uniqueId val="{00000006-E63F-4F8A-A0F7-2BABEDDAD95E}"/>
            </c:ext>
          </c:extLst>
        </c:ser>
        <c:dLbls>
          <c:showLegendKey val="0"/>
          <c:showVal val="0"/>
          <c:showCatName val="0"/>
          <c:showSerName val="0"/>
          <c:showPercent val="0"/>
          <c:showBubbleSize val="0"/>
        </c:dLbls>
        <c:smooth val="0"/>
        <c:axId val="215490792"/>
        <c:axId val="215115648"/>
      </c:lineChart>
      <c:catAx>
        <c:axId val="215490792"/>
        <c:scaling>
          <c:orientation val="minMax"/>
        </c:scaling>
        <c:delete val="0"/>
        <c:axPos val="b"/>
        <c:majorGridlines/>
        <c:minorGridlines/>
        <c:numFmt formatCode="m/d/yyyy" sourceLinked="1"/>
        <c:majorTickMark val="out"/>
        <c:minorTickMark val="none"/>
        <c:tickLblPos val="nextTo"/>
        <c:crossAx val="215115648"/>
        <c:crosses val="autoZero"/>
        <c:auto val="0"/>
        <c:lblAlgn val="ctr"/>
        <c:lblOffset val="100"/>
        <c:noMultiLvlLbl val="0"/>
      </c:catAx>
      <c:valAx>
        <c:axId val="215115648"/>
        <c:scaling>
          <c:orientation val="minMax"/>
        </c:scaling>
        <c:delete val="0"/>
        <c:axPos val="l"/>
        <c:majorGridlines/>
        <c:numFmt formatCode="_(* #,##0_);_(* \(#,##0\);_(* &quot;-&quot;??_);_(@_)" sourceLinked="1"/>
        <c:majorTickMark val="out"/>
        <c:minorTickMark val="none"/>
        <c:tickLblPos val="nextTo"/>
        <c:crossAx val="215490792"/>
        <c:crossesAt val="41377"/>
        <c:crossBetween val="midCat"/>
      </c:valAx>
    </c:plotArea>
    <c:legend>
      <c:legendPos val="r"/>
      <c:overlay val="0"/>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'Supplemental Charts 2019'!$N$52:$AP$52</c:f>
              <c:numCache>
                <c:formatCode>d\-mmm</c:formatCode>
                <c:ptCount val="29"/>
                <c:pt idx="0">
                  <c:v>43580</c:v>
                </c:pt>
                <c:pt idx="1">
                  <c:v>43581</c:v>
                </c:pt>
                <c:pt idx="2">
                  <c:v>43582</c:v>
                </c:pt>
                <c:pt idx="3">
                  <c:v>43583</c:v>
                </c:pt>
                <c:pt idx="4">
                  <c:v>43584</c:v>
                </c:pt>
                <c:pt idx="5">
                  <c:v>43585</c:v>
                </c:pt>
                <c:pt idx="6">
                  <c:v>43586</c:v>
                </c:pt>
                <c:pt idx="7">
                  <c:v>43587</c:v>
                </c:pt>
                <c:pt idx="8">
                  <c:v>43588</c:v>
                </c:pt>
                <c:pt idx="9">
                  <c:v>43589</c:v>
                </c:pt>
                <c:pt idx="10">
                  <c:v>43590</c:v>
                </c:pt>
                <c:pt idx="11">
                  <c:v>43591</c:v>
                </c:pt>
                <c:pt idx="12">
                  <c:v>43592</c:v>
                </c:pt>
                <c:pt idx="13">
                  <c:v>43593</c:v>
                </c:pt>
                <c:pt idx="14">
                  <c:v>43594</c:v>
                </c:pt>
                <c:pt idx="15">
                  <c:v>43595</c:v>
                </c:pt>
                <c:pt idx="16">
                  <c:v>43596</c:v>
                </c:pt>
                <c:pt idx="17">
                  <c:v>43597</c:v>
                </c:pt>
                <c:pt idx="18">
                  <c:v>43598</c:v>
                </c:pt>
                <c:pt idx="19">
                  <c:v>43599</c:v>
                </c:pt>
                <c:pt idx="20">
                  <c:v>43600</c:v>
                </c:pt>
                <c:pt idx="21">
                  <c:v>43601</c:v>
                </c:pt>
                <c:pt idx="22">
                  <c:v>43602</c:v>
                </c:pt>
                <c:pt idx="23">
                  <c:v>43603</c:v>
                </c:pt>
                <c:pt idx="24">
                  <c:v>43604</c:v>
                </c:pt>
                <c:pt idx="25">
                  <c:v>43605</c:v>
                </c:pt>
                <c:pt idx="26">
                  <c:v>43606</c:v>
                </c:pt>
                <c:pt idx="27">
                  <c:v>43607</c:v>
                </c:pt>
                <c:pt idx="28">
                  <c:v>43608</c:v>
                </c:pt>
              </c:numCache>
            </c:numRef>
          </c:cat>
          <c:val>
            <c:numRef>
              <c:f>'Supplemental Charts 2019'!$N$53:$AP$53</c:f>
              <c:numCache>
                <c:formatCode>_(* #,##0_);_(* \(#,##0\);_(* "-"??_);_(@_)</c:formatCode>
                <c:ptCount val="29"/>
                <c:pt idx="0">
                  <c:v>7</c:v>
                </c:pt>
                <c:pt idx="1">
                  <c:v>4</c:v>
                </c:pt>
                <c:pt idx="2">
                  <c:v>25</c:v>
                </c:pt>
                <c:pt idx="3">
                  <c:v>70</c:v>
                </c:pt>
                <c:pt idx="4">
                  <c:v>24</c:v>
                </c:pt>
                <c:pt idx="5">
                  <c:v>121</c:v>
                </c:pt>
                <c:pt idx="6">
                  <c:v>5</c:v>
                </c:pt>
                <c:pt idx="7">
                  <c:v>38</c:v>
                </c:pt>
                <c:pt idx="8">
                  <c:v>794</c:v>
                </c:pt>
                <c:pt idx="9">
                  <c:v>167</c:v>
                </c:pt>
                <c:pt idx="10">
                  <c:v>102</c:v>
                </c:pt>
                <c:pt idx="11">
                  <c:v>40</c:v>
                </c:pt>
                <c:pt idx="12">
                  <c:v>16</c:v>
                </c:pt>
                <c:pt idx="13">
                  <c:v>4541</c:v>
                </c:pt>
                <c:pt idx="14">
                  <c:v>604</c:v>
                </c:pt>
                <c:pt idx="15">
                  <c:v>688</c:v>
                </c:pt>
                <c:pt idx="16">
                  <c:v>10251</c:v>
                </c:pt>
                <c:pt idx="17">
                  <c:v>5089</c:v>
                </c:pt>
                <c:pt idx="18">
                  <c:v>1686</c:v>
                </c:pt>
                <c:pt idx="19">
                  <c:v>1207</c:v>
                </c:pt>
                <c:pt idx="20">
                  <c:v>81</c:v>
                </c:pt>
                <c:pt idx="21">
                  <c:v>1150</c:v>
                </c:pt>
                <c:pt idx="22">
                  <c:v>45</c:v>
                </c:pt>
                <c:pt idx="23">
                  <c:v>1262</c:v>
                </c:pt>
                <c:pt idx="24">
                  <c:v>27</c:v>
                </c:pt>
                <c:pt idx="25">
                  <c:v>52</c:v>
                </c:pt>
                <c:pt idx="26">
                  <c:v>15</c:v>
                </c:pt>
                <c:pt idx="27">
                  <c:v>6</c:v>
                </c:pt>
                <c:pt idx="28">
                  <c:v>1078</c:v>
                </c:pt>
              </c:numCache>
            </c:numRef>
          </c:val>
          <c:smooth val="0"/>
          <c:extLst>
            <c:ext xmlns:c16="http://schemas.microsoft.com/office/drawing/2014/chart" uri="{C3380CC4-5D6E-409C-BE32-E72D297353CC}">
              <c16:uniqueId val="{00000007-8A6C-4856-B557-4EC94AD5D582}"/>
            </c:ext>
          </c:extLst>
        </c:ser>
        <c:ser>
          <c:idx val="1"/>
          <c:order val="1"/>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Ref>
              <c:f>'Supplemental Charts 2019'!$N$52:$AP$52</c:f>
              <c:numCache>
                <c:formatCode>d\-mmm</c:formatCode>
                <c:ptCount val="29"/>
                <c:pt idx="0">
                  <c:v>43580</c:v>
                </c:pt>
                <c:pt idx="1">
                  <c:v>43581</c:v>
                </c:pt>
                <c:pt idx="2">
                  <c:v>43582</c:v>
                </c:pt>
                <c:pt idx="3">
                  <c:v>43583</c:v>
                </c:pt>
                <c:pt idx="4">
                  <c:v>43584</c:v>
                </c:pt>
                <c:pt idx="5">
                  <c:v>43585</c:v>
                </c:pt>
                <c:pt idx="6">
                  <c:v>43586</c:v>
                </c:pt>
                <c:pt idx="7">
                  <c:v>43587</c:v>
                </c:pt>
                <c:pt idx="8">
                  <c:v>43588</c:v>
                </c:pt>
                <c:pt idx="9">
                  <c:v>43589</c:v>
                </c:pt>
                <c:pt idx="10">
                  <c:v>43590</c:v>
                </c:pt>
                <c:pt idx="11">
                  <c:v>43591</c:v>
                </c:pt>
                <c:pt idx="12">
                  <c:v>43592</c:v>
                </c:pt>
                <c:pt idx="13">
                  <c:v>43593</c:v>
                </c:pt>
                <c:pt idx="14">
                  <c:v>43594</c:v>
                </c:pt>
                <c:pt idx="15">
                  <c:v>43595</c:v>
                </c:pt>
                <c:pt idx="16">
                  <c:v>43596</c:v>
                </c:pt>
                <c:pt idx="17">
                  <c:v>43597</c:v>
                </c:pt>
                <c:pt idx="18">
                  <c:v>43598</c:v>
                </c:pt>
                <c:pt idx="19">
                  <c:v>43599</c:v>
                </c:pt>
                <c:pt idx="20">
                  <c:v>43600</c:v>
                </c:pt>
                <c:pt idx="21">
                  <c:v>43601</c:v>
                </c:pt>
                <c:pt idx="22">
                  <c:v>43602</c:v>
                </c:pt>
                <c:pt idx="23">
                  <c:v>43603</c:v>
                </c:pt>
                <c:pt idx="24">
                  <c:v>43604</c:v>
                </c:pt>
                <c:pt idx="25">
                  <c:v>43605</c:v>
                </c:pt>
                <c:pt idx="26">
                  <c:v>43606</c:v>
                </c:pt>
                <c:pt idx="27">
                  <c:v>43607</c:v>
                </c:pt>
                <c:pt idx="28">
                  <c:v>43608</c:v>
                </c:pt>
              </c:numCache>
            </c:numRef>
          </c:cat>
          <c:val>
            <c:numRef>
              <c:f>'Supplemental Charts 2019'!$N$54:$AP$54</c:f>
              <c:numCache>
                <c:formatCode>_(* #,##0_);_(* \(#,##0\);_(* "-"??_);_(@_)</c:formatCode>
                <c:ptCount val="29"/>
                <c:pt idx="0">
                  <c:v>0</c:v>
                </c:pt>
                <c:pt idx="1">
                  <c:v>0</c:v>
                </c:pt>
                <c:pt idx="2">
                  <c:v>0</c:v>
                </c:pt>
                <c:pt idx="3">
                  <c:v>0</c:v>
                </c:pt>
                <c:pt idx="4">
                  <c:v>0</c:v>
                </c:pt>
                <c:pt idx="5">
                  <c:v>17</c:v>
                </c:pt>
                <c:pt idx="6">
                  <c:v>0</c:v>
                </c:pt>
                <c:pt idx="7">
                  <c:v>12</c:v>
                </c:pt>
                <c:pt idx="8">
                  <c:v>437</c:v>
                </c:pt>
                <c:pt idx="9">
                  <c:v>106</c:v>
                </c:pt>
                <c:pt idx="10">
                  <c:v>49</c:v>
                </c:pt>
                <c:pt idx="11">
                  <c:v>4</c:v>
                </c:pt>
                <c:pt idx="12">
                  <c:v>0</c:v>
                </c:pt>
                <c:pt idx="13">
                  <c:v>2206</c:v>
                </c:pt>
                <c:pt idx="14">
                  <c:v>378</c:v>
                </c:pt>
                <c:pt idx="15">
                  <c:v>404</c:v>
                </c:pt>
                <c:pt idx="16">
                  <c:v>8451</c:v>
                </c:pt>
                <c:pt idx="17">
                  <c:v>4115</c:v>
                </c:pt>
                <c:pt idx="18">
                  <c:v>1042</c:v>
                </c:pt>
                <c:pt idx="19">
                  <c:v>1109</c:v>
                </c:pt>
                <c:pt idx="20">
                  <c:v>54</c:v>
                </c:pt>
                <c:pt idx="21">
                  <c:v>916</c:v>
                </c:pt>
                <c:pt idx="22">
                  <c:v>45</c:v>
                </c:pt>
                <c:pt idx="23">
                  <c:v>434</c:v>
                </c:pt>
                <c:pt idx="24">
                  <c:v>1</c:v>
                </c:pt>
                <c:pt idx="25">
                  <c:v>0</c:v>
                </c:pt>
                <c:pt idx="26">
                  <c:v>5</c:v>
                </c:pt>
                <c:pt idx="27">
                  <c:v>0</c:v>
                </c:pt>
                <c:pt idx="28">
                  <c:v>31</c:v>
                </c:pt>
              </c:numCache>
            </c:numRef>
          </c:val>
          <c:smooth val="0"/>
          <c:extLst>
            <c:ext xmlns:c16="http://schemas.microsoft.com/office/drawing/2014/chart" uri="{C3380CC4-5D6E-409C-BE32-E72D297353CC}">
              <c16:uniqueId val="{00000008-8A6C-4856-B557-4EC94AD5D582}"/>
            </c:ext>
          </c:extLst>
        </c:ser>
        <c:ser>
          <c:idx val="2"/>
          <c:order val="2"/>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numRef>
              <c:f>'Supplemental Charts 2019'!$N$52:$AP$52</c:f>
              <c:numCache>
                <c:formatCode>d\-mmm</c:formatCode>
                <c:ptCount val="29"/>
                <c:pt idx="0">
                  <c:v>43580</c:v>
                </c:pt>
                <c:pt idx="1">
                  <c:v>43581</c:v>
                </c:pt>
                <c:pt idx="2">
                  <c:v>43582</c:v>
                </c:pt>
                <c:pt idx="3">
                  <c:v>43583</c:v>
                </c:pt>
                <c:pt idx="4">
                  <c:v>43584</c:v>
                </c:pt>
                <c:pt idx="5">
                  <c:v>43585</c:v>
                </c:pt>
                <c:pt idx="6">
                  <c:v>43586</c:v>
                </c:pt>
                <c:pt idx="7">
                  <c:v>43587</c:v>
                </c:pt>
                <c:pt idx="8">
                  <c:v>43588</c:v>
                </c:pt>
                <c:pt idx="9">
                  <c:v>43589</c:v>
                </c:pt>
                <c:pt idx="10">
                  <c:v>43590</c:v>
                </c:pt>
                <c:pt idx="11">
                  <c:v>43591</c:v>
                </c:pt>
                <c:pt idx="12">
                  <c:v>43592</c:v>
                </c:pt>
                <c:pt idx="13">
                  <c:v>43593</c:v>
                </c:pt>
                <c:pt idx="14">
                  <c:v>43594</c:v>
                </c:pt>
                <c:pt idx="15">
                  <c:v>43595</c:v>
                </c:pt>
                <c:pt idx="16">
                  <c:v>43596</c:v>
                </c:pt>
                <c:pt idx="17">
                  <c:v>43597</c:v>
                </c:pt>
                <c:pt idx="18">
                  <c:v>43598</c:v>
                </c:pt>
                <c:pt idx="19">
                  <c:v>43599</c:v>
                </c:pt>
                <c:pt idx="20">
                  <c:v>43600</c:v>
                </c:pt>
                <c:pt idx="21">
                  <c:v>43601</c:v>
                </c:pt>
                <c:pt idx="22">
                  <c:v>43602</c:v>
                </c:pt>
                <c:pt idx="23">
                  <c:v>43603</c:v>
                </c:pt>
                <c:pt idx="24">
                  <c:v>43604</c:v>
                </c:pt>
                <c:pt idx="25">
                  <c:v>43605</c:v>
                </c:pt>
                <c:pt idx="26">
                  <c:v>43606</c:v>
                </c:pt>
                <c:pt idx="27">
                  <c:v>43607</c:v>
                </c:pt>
                <c:pt idx="28">
                  <c:v>43608</c:v>
                </c:pt>
              </c:numCache>
            </c:numRef>
          </c:cat>
          <c:val>
            <c:numRef>
              <c:f>'Supplemental Charts 2019'!$N$55:$AP$55</c:f>
              <c:numCache>
                <c:formatCode>_(* #,##0_);_(* \(#,##0\);_(* "-"??_);_(@_)</c:formatCode>
                <c:ptCount val="29"/>
                <c:pt idx="0">
                  <c:v>0</c:v>
                </c:pt>
                <c:pt idx="1">
                  <c:v>1</c:v>
                </c:pt>
                <c:pt idx="2">
                  <c:v>1</c:v>
                </c:pt>
                <c:pt idx="3">
                  <c:v>0</c:v>
                </c:pt>
                <c:pt idx="4">
                  <c:v>0</c:v>
                </c:pt>
                <c:pt idx="5">
                  <c:v>15</c:v>
                </c:pt>
                <c:pt idx="6">
                  <c:v>0</c:v>
                </c:pt>
                <c:pt idx="7">
                  <c:v>2</c:v>
                </c:pt>
                <c:pt idx="8">
                  <c:v>33</c:v>
                </c:pt>
                <c:pt idx="9">
                  <c:v>12</c:v>
                </c:pt>
                <c:pt idx="10">
                  <c:v>6</c:v>
                </c:pt>
                <c:pt idx="11">
                  <c:v>1</c:v>
                </c:pt>
                <c:pt idx="12">
                  <c:v>3</c:v>
                </c:pt>
                <c:pt idx="13">
                  <c:v>76</c:v>
                </c:pt>
                <c:pt idx="14">
                  <c:v>13</c:v>
                </c:pt>
                <c:pt idx="15">
                  <c:v>47</c:v>
                </c:pt>
                <c:pt idx="16">
                  <c:v>345</c:v>
                </c:pt>
                <c:pt idx="17">
                  <c:v>111</c:v>
                </c:pt>
                <c:pt idx="18">
                  <c:v>91</c:v>
                </c:pt>
                <c:pt idx="19">
                  <c:v>12</c:v>
                </c:pt>
                <c:pt idx="20">
                  <c:v>8</c:v>
                </c:pt>
                <c:pt idx="21">
                  <c:v>37</c:v>
                </c:pt>
                <c:pt idx="22">
                  <c:v>0</c:v>
                </c:pt>
                <c:pt idx="23">
                  <c:v>22</c:v>
                </c:pt>
                <c:pt idx="24">
                  <c:v>1</c:v>
                </c:pt>
                <c:pt idx="25">
                  <c:v>10</c:v>
                </c:pt>
                <c:pt idx="26">
                  <c:v>0</c:v>
                </c:pt>
                <c:pt idx="27">
                  <c:v>4</c:v>
                </c:pt>
                <c:pt idx="28">
                  <c:v>4</c:v>
                </c:pt>
              </c:numCache>
            </c:numRef>
          </c:val>
          <c:smooth val="0"/>
          <c:extLst>
            <c:ext xmlns:c16="http://schemas.microsoft.com/office/drawing/2014/chart" uri="{C3380CC4-5D6E-409C-BE32-E72D297353CC}">
              <c16:uniqueId val="{00000009-8A6C-4856-B557-4EC94AD5D582}"/>
            </c:ext>
          </c:extLst>
        </c:ser>
        <c:dLbls>
          <c:showLegendKey val="0"/>
          <c:showVal val="0"/>
          <c:showCatName val="0"/>
          <c:showSerName val="0"/>
          <c:showPercent val="0"/>
          <c:showBubbleSize val="0"/>
        </c:dLbls>
        <c:marker val="1"/>
        <c:smooth val="0"/>
        <c:axId val="605372576"/>
        <c:axId val="605380120"/>
      </c:lineChart>
      <c:dateAx>
        <c:axId val="605372576"/>
        <c:scaling>
          <c:orientation val="minMax"/>
        </c:scaling>
        <c:delete val="0"/>
        <c:axPos val="b"/>
        <c:majorGridlines>
          <c:spPr>
            <a:ln w="9525" cap="flat" cmpd="sng" algn="ctr">
              <a:solidFill>
                <a:schemeClr val="tx1">
                  <a:lumMod val="15000"/>
                  <a:lumOff val="85000"/>
                </a:schemeClr>
              </a:solidFill>
              <a:round/>
            </a:ln>
            <a:effectLst/>
          </c:spPr>
        </c:majorGridlines>
        <c:title>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605380120"/>
        <c:crosses val="autoZero"/>
        <c:auto val="1"/>
        <c:lblOffset val="100"/>
        <c:baseTimeUnit val="days"/>
      </c:dateAx>
      <c:valAx>
        <c:axId val="605380120"/>
        <c:scaling>
          <c:orientation val="minMax"/>
        </c:scaling>
        <c:delete val="0"/>
        <c:axPos val="l"/>
        <c:majorGridlines>
          <c:spPr>
            <a:ln w="9525" cap="flat" cmpd="sng" algn="ctr">
              <a:solidFill>
                <a:schemeClr val="tx1">
                  <a:lumMod val="15000"/>
                  <a:lumOff val="85000"/>
                </a:schemeClr>
              </a:solidFill>
              <a:round/>
            </a:ln>
            <a:effectLst/>
          </c:spPr>
        </c:majorGridlines>
        <c:minorGridlines>
          <c:spPr>
            <a:ln>
              <a:solidFill>
                <a:schemeClr val="tx1">
                  <a:lumMod val="5000"/>
                  <a:lumOff val="95000"/>
                </a:schemeClr>
              </a:solidFill>
            </a:ln>
            <a:effectLst/>
          </c:spPr>
        </c:minorGridlines>
        <c:title>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372576"/>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Comparing Monitoiring and Supplemetal Daily Counts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'Supplemental Charts 2019'!$A$46</c:f>
              <c:strCache>
                <c:ptCount val="1"/>
                <c:pt idx="0">
                  <c:v>Supplemental Data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'Supplemental Charts 2019'!$B$45:$AP$45</c:f>
              <c:numCache>
                <c:formatCode>d\-mmm</c:formatCode>
                <c:ptCount val="41"/>
                <c:pt idx="0">
                  <c:v>43568</c:v>
                </c:pt>
                <c:pt idx="1">
                  <c:v>43569</c:v>
                </c:pt>
                <c:pt idx="2">
                  <c:v>43570</c:v>
                </c:pt>
                <c:pt idx="3">
                  <c:v>43571</c:v>
                </c:pt>
                <c:pt idx="4">
                  <c:v>43572</c:v>
                </c:pt>
                <c:pt idx="5">
                  <c:v>43573</c:v>
                </c:pt>
                <c:pt idx="6">
                  <c:v>43574</c:v>
                </c:pt>
                <c:pt idx="7">
                  <c:v>43575</c:v>
                </c:pt>
                <c:pt idx="8">
                  <c:v>43576</c:v>
                </c:pt>
                <c:pt idx="9">
                  <c:v>43577</c:v>
                </c:pt>
                <c:pt idx="10">
                  <c:v>43578</c:v>
                </c:pt>
                <c:pt idx="11">
                  <c:v>43579</c:v>
                </c:pt>
                <c:pt idx="12">
                  <c:v>43580</c:v>
                </c:pt>
                <c:pt idx="13">
                  <c:v>43581</c:v>
                </c:pt>
                <c:pt idx="14">
                  <c:v>43582</c:v>
                </c:pt>
                <c:pt idx="15">
                  <c:v>43583</c:v>
                </c:pt>
                <c:pt idx="16">
                  <c:v>43584</c:v>
                </c:pt>
                <c:pt idx="17">
                  <c:v>43585</c:v>
                </c:pt>
                <c:pt idx="18">
                  <c:v>43586</c:v>
                </c:pt>
                <c:pt idx="19">
                  <c:v>43587</c:v>
                </c:pt>
                <c:pt idx="20">
                  <c:v>43588</c:v>
                </c:pt>
                <c:pt idx="21">
                  <c:v>43589</c:v>
                </c:pt>
                <c:pt idx="22">
                  <c:v>43590</c:v>
                </c:pt>
                <c:pt idx="23">
                  <c:v>43591</c:v>
                </c:pt>
                <c:pt idx="24">
                  <c:v>43592</c:v>
                </c:pt>
                <c:pt idx="25">
                  <c:v>43593</c:v>
                </c:pt>
                <c:pt idx="26">
                  <c:v>43594</c:v>
                </c:pt>
                <c:pt idx="27">
                  <c:v>43595</c:v>
                </c:pt>
                <c:pt idx="28">
                  <c:v>43596</c:v>
                </c:pt>
                <c:pt idx="29">
                  <c:v>43597</c:v>
                </c:pt>
                <c:pt idx="30">
                  <c:v>43598</c:v>
                </c:pt>
                <c:pt idx="31">
                  <c:v>43599</c:v>
                </c:pt>
                <c:pt idx="32">
                  <c:v>43600</c:v>
                </c:pt>
                <c:pt idx="33">
                  <c:v>43601</c:v>
                </c:pt>
                <c:pt idx="34">
                  <c:v>43602</c:v>
                </c:pt>
                <c:pt idx="35">
                  <c:v>43603</c:v>
                </c:pt>
                <c:pt idx="36">
                  <c:v>43604</c:v>
                </c:pt>
                <c:pt idx="37">
                  <c:v>43605</c:v>
                </c:pt>
                <c:pt idx="38">
                  <c:v>43606</c:v>
                </c:pt>
                <c:pt idx="39">
                  <c:v>43607</c:v>
                </c:pt>
                <c:pt idx="40">
                  <c:v>43608</c:v>
                </c:pt>
              </c:numCache>
            </c:numRef>
          </c:cat>
          <c:val>
            <c:numRef>
              <c:f>'Supplemental Charts 2019'!$B$46:$AP$46</c:f>
              <c:numCache>
                <c:formatCode>_(* #,##0_);_(* \(#,##0\);_(* "-"??_);_(@_)</c:formatCode>
                <c:ptCount val="41"/>
                <c:pt idx="0">
                  <c:v>3</c:v>
                </c:pt>
                <c:pt idx="1">
                  <c:v>2</c:v>
                </c:pt>
                <c:pt idx="2">
                  <c:v>0</c:v>
                </c:pt>
                <c:pt idx="3">
                  <c:v>0</c:v>
                </c:pt>
                <c:pt idx="4">
                  <c:v>6</c:v>
                </c:pt>
                <c:pt idx="5">
                  <c:v>87</c:v>
                </c:pt>
                <c:pt idx="6">
                  <c:v>54</c:v>
                </c:pt>
                <c:pt idx="7">
                  <c:v>0</c:v>
                </c:pt>
                <c:pt idx="8">
                  <c:v>0</c:v>
                </c:pt>
                <c:pt idx="9">
                  <c:v>32</c:v>
                </c:pt>
                <c:pt idx="10">
                  <c:v>90</c:v>
                </c:pt>
                <c:pt idx="11">
                  <c:v>5</c:v>
                </c:pt>
                <c:pt idx="12">
                  <c:v>7</c:v>
                </c:pt>
                <c:pt idx="13">
                  <c:v>4</c:v>
                </c:pt>
                <c:pt idx="14">
                  <c:v>25</c:v>
                </c:pt>
                <c:pt idx="15">
                  <c:v>70</c:v>
                </c:pt>
                <c:pt idx="16">
                  <c:v>24</c:v>
                </c:pt>
                <c:pt idx="17">
                  <c:v>121</c:v>
                </c:pt>
                <c:pt idx="18">
                  <c:v>5</c:v>
                </c:pt>
                <c:pt idx="19">
                  <c:v>38</c:v>
                </c:pt>
                <c:pt idx="20">
                  <c:v>794</c:v>
                </c:pt>
                <c:pt idx="21">
                  <c:v>167</c:v>
                </c:pt>
                <c:pt idx="22">
                  <c:v>102</c:v>
                </c:pt>
                <c:pt idx="23">
                  <c:v>40</c:v>
                </c:pt>
                <c:pt idx="24">
                  <c:v>16</c:v>
                </c:pt>
                <c:pt idx="25">
                  <c:v>4541</c:v>
                </c:pt>
                <c:pt idx="26" formatCode="General">
                  <c:v>604</c:v>
                </c:pt>
                <c:pt idx="27" formatCode="General">
                  <c:v>688</c:v>
                </c:pt>
                <c:pt idx="28">
                  <c:v>10251</c:v>
                </c:pt>
                <c:pt idx="29">
                  <c:v>5089</c:v>
                </c:pt>
                <c:pt idx="30">
                  <c:v>1686</c:v>
                </c:pt>
                <c:pt idx="31">
                  <c:v>1207</c:v>
                </c:pt>
                <c:pt idx="32">
                  <c:v>81</c:v>
                </c:pt>
                <c:pt idx="33">
                  <c:v>1150</c:v>
                </c:pt>
                <c:pt idx="34">
                  <c:v>45</c:v>
                </c:pt>
                <c:pt idx="35">
                  <c:v>1262</c:v>
                </c:pt>
                <c:pt idx="36">
                  <c:v>27</c:v>
                </c:pt>
                <c:pt idx="37">
                  <c:v>52</c:v>
                </c:pt>
                <c:pt idx="38">
                  <c:v>15</c:v>
                </c:pt>
                <c:pt idx="39">
                  <c:v>6</c:v>
                </c:pt>
                <c:pt idx="40">
                  <c:v>1078</c:v>
                </c:pt>
              </c:numCache>
            </c:numRef>
          </c:val>
          <c:smooth val="0"/>
          <c:extLst>
            <c:ext xmlns:c16="http://schemas.microsoft.com/office/drawing/2014/chart" uri="{C3380CC4-5D6E-409C-BE32-E72D297353CC}">
              <c16:uniqueId val="{00000002-8C96-4E11-9CAC-6E222E095B92}"/>
            </c:ext>
          </c:extLst>
        </c:ser>
        <c:ser>
          <c:idx val="1"/>
          <c:order val="1"/>
          <c:tx>
            <c:strRef>
              <c:f>'Supplemental Charts 2019'!$A$47</c:f>
              <c:strCache>
                <c:ptCount val="1"/>
                <c:pt idx="0">
                  <c:v>Monitoring Data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'Supplemental Charts 2019'!$B$45:$AP$45</c:f>
              <c:numCache>
                <c:formatCode>d\-mmm</c:formatCode>
                <c:ptCount val="41"/>
                <c:pt idx="0">
                  <c:v>43568</c:v>
                </c:pt>
                <c:pt idx="1">
                  <c:v>43569</c:v>
                </c:pt>
                <c:pt idx="2">
                  <c:v>43570</c:v>
                </c:pt>
                <c:pt idx="3">
                  <c:v>43571</c:v>
                </c:pt>
                <c:pt idx="4">
                  <c:v>43572</c:v>
                </c:pt>
                <c:pt idx="5">
                  <c:v>43573</c:v>
                </c:pt>
                <c:pt idx="6">
                  <c:v>43574</c:v>
                </c:pt>
                <c:pt idx="7">
                  <c:v>43575</c:v>
                </c:pt>
                <c:pt idx="8">
                  <c:v>43576</c:v>
                </c:pt>
                <c:pt idx="9">
                  <c:v>43577</c:v>
                </c:pt>
                <c:pt idx="10">
                  <c:v>43578</c:v>
                </c:pt>
                <c:pt idx="11">
                  <c:v>43579</c:v>
                </c:pt>
                <c:pt idx="12">
                  <c:v>43580</c:v>
                </c:pt>
                <c:pt idx="13">
                  <c:v>43581</c:v>
                </c:pt>
                <c:pt idx="14">
                  <c:v>43582</c:v>
                </c:pt>
                <c:pt idx="15">
                  <c:v>43583</c:v>
                </c:pt>
                <c:pt idx="16">
                  <c:v>43584</c:v>
                </c:pt>
                <c:pt idx="17">
                  <c:v>43585</c:v>
                </c:pt>
                <c:pt idx="18">
                  <c:v>43586</c:v>
                </c:pt>
                <c:pt idx="19">
                  <c:v>43587</c:v>
                </c:pt>
                <c:pt idx="20">
                  <c:v>43588</c:v>
                </c:pt>
                <c:pt idx="21">
                  <c:v>43589</c:v>
                </c:pt>
                <c:pt idx="22">
                  <c:v>43590</c:v>
                </c:pt>
                <c:pt idx="23">
                  <c:v>43591</c:v>
                </c:pt>
                <c:pt idx="24">
                  <c:v>43592</c:v>
                </c:pt>
                <c:pt idx="25">
                  <c:v>43593</c:v>
                </c:pt>
                <c:pt idx="26">
                  <c:v>43594</c:v>
                </c:pt>
                <c:pt idx="27">
                  <c:v>43595</c:v>
                </c:pt>
                <c:pt idx="28">
                  <c:v>43596</c:v>
                </c:pt>
                <c:pt idx="29">
                  <c:v>43597</c:v>
                </c:pt>
                <c:pt idx="30">
                  <c:v>43598</c:v>
                </c:pt>
                <c:pt idx="31">
                  <c:v>43599</c:v>
                </c:pt>
                <c:pt idx="32">
                  <c:v>43600</c:v>
                </c:pt>
                <c:pt idx="33">
                  <c:v>43601</c:v>
                </c:pt>
                <c:pt idx="34">
                  <c:v>43602</c:v>
                </c:pt>
                <c:pt idx="35">
                  <c:v>43603</c:v>
                </c:pt>
                <c:pt idx="36">
                  <c:v>43604</c:v>
                </c:pt>
                <c:pt idx="37">
                  <c:v>43605</c:v>
                </c:pt>
                <c:pt idx="38">
                  <c:v>43606</c:v>
                </c:pt>
                <c:pt idx="39">
                  <c:v>43607</c:v>
                </c:pt>
                <c:pt idx="40">
                  <c:v>43608</c:v>
                </c:pt>
              </c:numCache>
            </c:numRef>
          </c:cat>
          <c:val>
            <c:numRef>
              <c:f>'Supplemental Charts 2019'!$B$47:$AP$47</c:f>
              <c:numCache>
                <c:formatCode>_(* #,##0_);_(* \(#,##0\);_(* "-"??_);_(@_)</c:formatCode>
                <c:ptCount val="41"/>
                <c:pt idx="0">
                  <c:v>2</c:v>
                </c:pt>
                <c:pt idx="1">
                  <c:v>0</c:v>
                </c:pt>
                <c:pt idx="2">
                  <c:v>0</c:v>
                </c:pt>
                <c:pt idx="3">
                  <c:v>0</c:v>
                </c:pt>
                <c:pt idx="4">
                  <c:v>0</c:v>
                </c:pt>
                <c:pt idx="5">
                  <c:v>40</c:v>
                </c:pt>
                <c:pt idx="6">
                  <c:v>0</c:v>
                </c:pt>
                <c:pt idx="7">
                  <c:v>0</c:v>
                </c:pt>
                <c:pt idx="8">
                  <c:v>0</c:v>
                </c:pt>
                <c:pt idx="9">
                  <c:v>0</c:v>
                </c:pt>
                <c:pt idx="10">
                  <c:v>89</c:v>
                </c:pt>
                <c:pt idx="11">
                  <c:v>0</c:v>
                </c:pt>
                <c:pt idx="12">
                  <c:v>0</c:v>
                </c:pt>
                <c:pt idx="13">
                  <c:v>0</c:v>
                </c:pt>
                <c:pt idx="14">
                  <c:v>0</c:v>
                </c:pt>
                <c:pt idx="15">
                  <c:v>66</c:v>
                </c:pt>
                <c:pt idx="16">
                  <c:v>0</c:v>
                </c:pt>
                <c:pt idx="17">
                  <c:v>0</c:v>
                </c:pt>
                <c:pt idx="18">
                  <c:v>0</c:v>
                </c:pt>
                <c:pt idx="19">
                  <c:v>0</c:v>
                </c:pt>
                <c:pt idx="20">
                  <c:v>770</c:v>
                </c:pt>
                <c:pt idx="21">
                  <c:v>0</c:v>
                </c:pt>
                <c:pt idx="22">
                  <c:v>0</c:v>
                </c:pt>
                <c:pt idx="23">
                  <c:v>0</c:v>
                </c:pt>
                <c:pt idx="24">
                  <c:v>0</c:v>
                </c:pt>
                <c:pt idx="25">
                  <c:v>3846</c:v>
                </c:pt>
                <c:pt idx="26">
                  <c:v>0</c:v>
                </c:pt>
                <c:pt idx="27">
                  <c:v>0</c:v>
                </c:pt>
                <c:pt idx="28">
                  <c:v>0</c:v>
                </c:pt>
                <c:pt idx="29">
                  <c:v>0</c:v>
                </c:pt>
                <c:pt idx="30">
                  <c:v>1601</c:v>
                </c:pt>
                <c:pt idx="31">
                  <c:v>0</c:v>
                </c:pt>
                <c:pt idx="32">
                  <c:v>0</c:v>
                </c:pt>
                <c:pt idx="33">
                  <c:v>0</c:v>
                </c:pt>
                <c:pt idx="34">
                  <c:v>0</c:v>
                </c:pt>
                <c:pt idx="35">
                  <c:v>1252</c:v>
                </c:pt>
                <c:pt idx="36">
                  <c:v>0</c:v>
                </c:pt>
                <c:pt idx="37">
                  <c:v>0</c:v>
                </c:pt>
                <c:pt idx="38">
                  <c:v>0</c:v>
                </c:pt>
                <c:pt idx="39">
                  <c:v>0</c:v>
                </c:pt>
                <c:pt idx="40">
                  <c:v>1077</c:v>
                </c:pt>
              </c:numCache>
            </c:numRef>
          </c:val>
          <c:smooth val="0"/>
          <c:extLst>
            <c:ext xmlns:c16="http://schemas.microsoft.com/office/drawing/2014/chart" uri="{C3380CC4-5D6E-409C-BE32-E72D297353CC}">
              <c16:uniqueId val="{00000003-8C96-4E11-9CAC-6E222E095B92}"/>
            </c:ext>
          </c:extLst>
        </c:ser>
        <c:dLbls>
          <c:showLegendKey val="0"/>
          <c:showVal val="0"/>
          <c:showCatName val="0"/>
          <c:showSerName val="0"/>
          <c:showPercent val="0"/>
          <c:showBubbleSize val="0"/>
        </c:dLbls>
        <c:marker val="1"/>
        <c:smooth val="0"/>
        <c:axId val="683174552"/>
        <c:axId val="683174880"/>
      </c:lineChart>
      <c:dateAx>
        <c:axId val="683174552"/>
        <c:scaling>
          <c:orientation val="minMax"/>
        </c:scaling>
        <c:delete val="0"/>
        <c:axPos val="b"/>
        <c:majorGridlines>
          <c:spPr>
            <a:ln w="9525" cap="flat" cmpd="sng" algn="ctr">
              <a:solidFill>
                <a:schemeClr val="tx1">
                  <a:lumMod val="15000"/>
                  <a:lumOff val="85000"/>
                </a:schemeClr>
              </a:solidFill>
              <a:round/>
            </a:ln>
            <a:effectLst/>
          </c:spPr>
        </c:majorGridlines>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3174880"/>
        <c:crosses val="autoZero"/>
        <c:auto val="1"/>
        <c:lblOffset val="100"/>
        <c:baseTimeUnit val="days"/>
      </c:dateAx>
      <c:valAx>
        <c:axId val="68317488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31745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Comparing Total Annual Counts for Homer Spit Sites</a:t>
            </a:r>
          </a:p>
        </c:rich>
      </c:tx>
      <c:layout>
        <c:manualLayout>
          <c:xMode val="edge"/>
          <c:yMode val="edge"/>
          <c:x val="0.28135876840696117"/>
          <c:y val="2.8735632183908046E-2"/>
        </c:manualLayout>
      </c:layout>
      <c:overlay val="1"/>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'Historic Comparison'!$A$47</c:f>
              <c:strCache>
                <c:ptCount val="1"/>
                <c:pt idx="0">
                  <c:v>West's Count Data</c:v>
                </c:pt>
              </c:strCache>
            </c:strRef>
          </c:tx>
          <c:spPr>
            <a:solidFill>
              <a:schemeClr val="accent4">
                <a:shade val="76000"/>
              </a:schemeClr>
            </a:solidFill>
            <a:ln>
              <a:noFill/>
            </a:ln>
            <a:effectLst/>
          </c:spPr>
          <c:invertIfNegative val="0"/>
          <c:cat>
            <c:numRef>
              <c:f>'Historic Comparison'!$C$46:$S$46</c:f>
              <c:numCache>
                <c:formatCode>General</c:formatCode>
                <c:ptCount val="17"/>
                <c:pt idx="0">
                  <c:v>1989</c:v>
                </c:pt>
                <c:pt idx="1">
                  <c:v>1990</c:v>
                </c:pt>
                <c:pt idx="2">
                  <c:v>1991</c:v>
                </c:pt>
                <c:pt idx="3">
                  <c:v>1992</c:v>
                </c:pt>
                <c:pt idx="4">
                  <c:v>1993</c:v>
                </c:pt>
                <c:pt idx="5">
                  <c:v>1994</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'Historic Comparison'!$C$47:$S$47</c:f>
              <c:numCache>
                <c:formatCode>_(* #,##0_);_(* \(#,##0\);_(* "-"??_);_(@_)</c:formatCode>
                <c:ptCount val="17"/>
                <c:pt idx="0">
                  <c:v>14849</c:v>
                </c:pt>
                <c:pt idx="1">
                  <c:v>7123</c:v>
                </c:pt>
                <c:pt idx="2">
                  <c:v>23478</c:v>
                </c:pt>
                <c:pt idx="3">
                  <c:v>37437</c:v>
                </c:pt>
                <c:pt idx="4">
                  <c:v>9872</c:v>
                </c:pt>
                <c:pt idx="5">
                  <c:v>19628</c:v>
                </c:pt>
              </c:numCache>
            </c:numRef>
          </c:val>
          <c:extLst>
            <c:ext xmlns:c16="http://schemas.microsoft.com/office/drawing/2014/chart" uri="{C3380CC4-5D6E-409C-BE32-E72D297353CC}">
              <c16:uniqueId val="{00000000-54D0-4124-89DA-F3FE05D610D9}"/>
            </c:ext>
          </c:extLst>
        </c:ser>
        <c:ser>
          <c:idx val="1"/>
          <c:order val="1"/>
          <c:tx>
            <c:strRef>
              <c:f>'Historic Comparison'!$A$48</c:f>
              <c:strCache>
                <c:ptCount val="1"/>
                <c:pt idx="0">
                  <c:v>KBB Count Data</c:v>
                </c:pt>
              </c:strCache>
            </c:strRef>
          </c:tx>
          <c:spPr>
            <a:solidFill>
              <a:schemeClr val="accent4">
                <a:tint val="77000"/>
              </a:schemeClr>
            </a:solidFill>
            <a:ln>
              <a:noFill/>
            </a:ln>
            <a:effectLst/>
          </c:spPr>
          <c:invertIfNegative val="0"/>
          <c:cat>
            <c:numRef>
              <c:f>'Historic Comparison'!$C$46:$S$46</c:f>
              <c:numCache>
                <c:formatCode>General</c:formatCode>
                <c:ptCount val="17"/>
                <c:pt idx="0">
                  <c:v>1989</c:v>
                </c:pt>
                <c:pt idx="1">
                  <c:v>1990</c:v>
                </c:pt>
                <c:pt idx="2">
                  <c:v>1991</c:v>
                </c:pt>
                <c:pt idx="3">
                  <c:v>1992</c:v>
                </c:pt>
                <c:pt idx="4">
                  <c:v>1993</c:v>
                </c:pt>
                <c:pt idx="5">
                  <c:v>1994</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'Historic Comparison'!$C$48:$S$48</c:f>
              <c:numCache>
                <c:formatCode>General</c:formatCode>
                <c:ptCount val="17"/>
                <c:pt idx="6" formatCode="_(* #,##0_);_(* \(#,##0\);_(* &quot;-&quot;??_);_(@_)">
                  <c:v>4994</c:v>
                </c:pt>
                <c:pt idx="7" formatCode="_(* #,##0_);_(* \(#,##0\);_(* &quot;-&quot;??_);_(@_)">
                  <c:v>7314</c:v>
                </c:pt>
                <c:pt idx="8" formatCode="_(* #,##0_);_(* \(#,##0\);_(* &quot;-&quot;??_);_(@_)">
                  <c:v>8858</c:v>
                </c:pt>
                <c:pt idx="9" formatCode="_(* #,##0_);_(* \(#,##0\);_(* &quot;-&quot;??_);_(@_)">
                  <c:v>19309</c:v>
                </c:pt>
                <c:pt idx="10" formatCode="_(* #,##0_);_(* \(#,##0\);_(* &quot;-&quot;??_);_(@_)">
                  <c:v>16815</c:v>
                </c:pt>
                <c:pt idx="11" formatCode="_(* #,##0_);_(* \(#,##0\);_(* &quot;-&quot;??_);_(@_)">
                  <c:v>9402</c:v>
                </c:pt>
                <c:pt idx="12" formatCode="_(* #,##0_);_(* \(#,##0\);_(* &quot;-&quot;??_);_(@_)">
                  <c:v>5776</c:v>
                </c:pt>
                <c:pt idx="13" formatCode="_(* #,##0_);_(* \(#,##0\);_(* &quot;-&quot;??_);_(@_)">
                  <c:v>8932</c:v>
                </c:pt>
                <c:pt idx="14" formatCode="_(* #,##0_);_(* \(#,##0\);_(* &quot;-&quot;??_);_(@_)">
                  <c:v>9157</c:v>
                </c:pt>
                <c:pt idx="15" formatCode="_(* #,##0_);_(* \(#,##0\);_(* &quot;-&quot;??_);_(@_)">
                  <c:v>15805</c:v>
                </c:pt>
                <c:pt idx="16" formatCode="_(* #,##0_);_(* \(#,##0\);_(* &quot;-&quot;??_);_(@_)">
                  <c:v>4955</c:v>
                </c:pt>
              </c:numCache>
            </c:numRef>
          </c:val>
          <c:extLst>
            <c:ext xmlns:c16="http://schemas.microsoft.com/office/drawing/2014/chart" uri="{C3380CC4-5D6E-409C-BE32-E72D297353CC}">
              <c16:uniqueId val="{00000001-54D0-4124-89DA-F3FE05D610D9}"/>
            </c:ext>
          </c:extLst>
        </c:ser>
        <c:dLbls>
          <c:showLegendKey val="0"/>
          <c:showVal val="0"/>
          <c:showCatName val="0"/>
          <c:showSerName val="0"/>
          <c:showPercent val="0"/>
          <c:showBubbleSize val="0"/>
        </c:dLbls>
        <c:gapWidth val="219"/>
        <c:overlap val="-27"/>
        <c:axId val="234283608"/>
        <c:axId val="234284000"/>
      </c:barChart>
      <c:catAx>
        <c:axId val="23428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234284000"/>
        <c:crosses val="autoZero"/>
        <c:auto val="1"/>
        <c:lblAlgn val="ctr"/>
        <c:lblOffset val="100"/>
        <c:noMultiLvlLbl val="0"/>
      </c:catAx>
      <c:valAx>
        <c:axId val="2342840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234283608"/>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47</xdr:col>
      <xdr:colOff>809625</xdr:colOff>
      <xdr:row>14</xdr:row>
      <xdr:rowOff>161924</xdr:rowOff>
    </xdr:from>
    <xdr:to>
      <xdr:col>59</xdr:col>
      <xdr:colOff>38100</xdr:colOff>
      <xdr:row>36</xdr:row>
      <xdr:rowOff>38099</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46</xdr:col>
      <xdr:colOff>76199</xdr:colOff>
      <xdr:row>51</xdr:row>
      <xdr:rowOff>42862</xdr:rowOff>
    </xdr:from>
    <xdr:to>
      <xdr:col>65</xdr:col>
      <xdr:colOff>19050</xdr:colOff>
      <xdr:row>87</xdr:row>
      <xdr:rowOff>38100</xdr:rowOff>
    </xdr:to>
    <xdr:graphicFrame macro="">
      <xdr:nvGraphicFramePr>
        <xdr:cNvPr id="4" name="Chart 3">
          <a:extLst>
            <a:ext uri="{FF2B5EF4-FFF2-40B4-BE49-F238E27FC236}">
              <a16:creationId xmlns:a16="http://schemas.microsoft.com/office/drawing/2014/main" id="{3AB87BB2-E7E4-4007-9EC1-B065E23440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114299</xdr:colOff>
      <xdr:row>5</xdr:row>
      <xdr:rowOff>71438</xdr:rowOff>
    </xdr:from>
    <xdr:to>
      <xdr:col>64</xdr:col>
      <xdr:colOff>590549</xdr:colOff>
      <xdr:row>35</xdr:row>
      <xdr:rowOff>104775</xdr:rowOff>
    </xdr:to>
    <xdr:graphicFrame macro="">
      <xdr:nvGraphicFramePr>
        <xdr:cNvPr id="2" name="Chart 1">
          <a:extLst>
            <a:ext uri="{FF2B5EF4-FFF2-40B4-BE49-F238E27FC236}">
              <a16:creationId xmlns:a16="http://schemas.microsoft.com/office/drawing/2014/main" id="{41F23DC8-3DBA-4463-A56C-D19AF81A2A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123826</xdr:colOff>
      <xdr:row>5</xdr:row>
      <xdr:rowOff>19049</xdr:rowOff>
    </xdr:from>
    <xdr:to>
      <xdr:col>37</xdr:col>
      <xdr:colOff>176212</xdr:colOff>
      <xdr:row>32</xdr:row>
      <xdr:rowOff>140969</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Q492"/>
  <sheetViews>
    <sheetView tabSelected="1" zoomScale="99" zoomScaleNormal="99" workbookViewId="0"/>
  </sheetViews>
  <sheetFormatPr defaultRowHeight="14.25" x14ac:dyDescent="0.45"/>
  <cols>
    <col min="1" max="1" width="27.73046875" customWidth="1"/>
    <col min="2" max="10" width="9.59765625" customWidth="1"/>
    <col min="11" max="11" width="10.73046875" customWidth="1"/>
    <col min="13" max="13" width="9.1328125" customWidth="1"/>
    <col min="14" max="14" width="5.73046875" customWidth="1"/>
    <col min="15" max="15" width="27.73046875" customWidth="1"/>
    <col min="16" max="27" width="9.1328125" customWidth="1"/>
    <col min="28" max="28" width="27.73046875" customWidth="1"/>
    <col min="29" max="38" width="10.73046875" customWidth="1"/>
    <col min="39" max="39" width="9.1328125" customWidth="1"/>
    <col min="41" max="41" width="27.73046875" customWidth="1"/>
    <col min="42" max="45" width="10.73046875" customWidth="1"/>
    <col min="46" max="46" width="9.73046875" bestFit="1" customWidth="1"/>
    <col min="47" max="47" width="10" bestFit="1" customWidth="1"/>
    <col min="48" max="48" width="12.59765625" bestFit="1" customWidth="1"/>
    <col min="49" max="49" width="20.73046875" customWidth="1"/>
    <col min="50" max="50" width="10.59765625" bestFit="1" customWidth="1"/>
    <col min="51" max="51" width="13" bestFit="1" customWidth="1"/>
    <col min="52" max="52" width="11" bestFit="1" customWidth="1"/>
    <col min="53" max="53" width="10.1328125" bestFit="1" customWidth="1"/>
    <col min="54" max="54" width="11.59765625" bestFit="1" customWidth="1"/>
    <col min="55" max="58" width="10.1328125" bestFit="1" customWidth="1"/>
    <col min="59" max="59" width="11.59765625" bestFit="1" customWidth="1"/>
    <col min="70" max="70" width="9.1328125" customWidth="1"/>
    <col min="72" max="72" width="9.1328125" customWidth="1"/>
    <col min="73" max="73" width="10.59765625" customWidth="1"/>
    <col min="74" max="75" width="9.1328125" customWidth="1"/>
    <col min="86" max="86" width="9.1328125" customWidth="1"/>
    <col min="87" max="87" width="9.59765625" customWidth="1"/>
    <col min="89" max="89" width="9.1328125" customWidth="1"/>
    <col min="92" max="92" width="9.1328125" customWidth="1"/>
    <col min="93" max="94" width="10.59765625" customWidth="1"/>
    <col min="95" max="95" width="10.59765625" style="2" customWidth="1"/>
    <col min="96" max="96" width="6.73046875" customWidth="1"/>
    <col min="97" max="97" width="9.1328125" customWidth="1"/>
    <col min="98" max="100" width="10.59765625" customWidth="1"/>
  </cols>
  <sheetData>
    <row r="1" spans="1:83" x14ac:dyDescent="0.45">
      <c r="A1" s="1" t="s">
        <v>0</v>
      </c>
      <c r="B1" s="1"/>
      <c r="O1" s="1" t="s">
        <v>150</v>
      </c>
      <c r="P1" s="2"/>
      <c r="Q1" s="2"/>
      <c r="BT1" s="2"/>
      <c r="BU1" s="2"/>
      <c r="BY1" s="2"/>
    </row>
    <row r="2" spans="1:83" x14ac:dyDescent="0.45">
      <c r="A2" s="1" t="s">
        <v>222</v>
      </c>
      <c r="B2" s="1"/>
      <c r="E2" t="s">
        <v>29</v>
      </c>
      <c r="P2" s="14"/>
      <c r="AC2" s="2"/>
    </row>
    <row r="3" spans="1:83" s="2" customFormat="1" x14ac:dyDescent="0.45">
      <c r="A3" s="2" t="s">
        <v>58</v>
      </c>
      <c r="O3" s="1" t="s">
        <v>222</v>
      </c>
      <c r="R3" s="2" t="s">
        <v>29</v>
      </c>
      <c r="AB3" s="1" t="s">
        <v>222</v>
      </c>
      <c r="AE3" s="2" t="s">
        <v>29</v>
      </c>
      <c r="AO3" s="1" t="s">
        <v>222</v>
      </c>
      <c r="AW3" s="1" t="s">
        <v>142</v>
      </c>
      <c r="BT3"/>
      <c r="BU3"/>
      <c r="BV3"/>
      <c r="BW3"/>
      <c r="BX3"/>
      <c r="BY3"/>
      <c r="BZ3"/>
      <c r="CA3"/>
      <c r="CB3"/>
      <c r="CC3"/>
      <c r="CD3"/>
      <c r="CE3"/>
    </row>
    <row r="4" spans="1:83" s="2" customFormat="1" x14ac:dyDescent="0.45">
      <c r="A4" s="18" t="s">
        <v>149</v>
      </c>
      <c r="O4" s="1" t="s">
        <v>56</v>
      </c>
      <c r="AB4" s="1" t="s">
        <v>56</v>
      </c>
      <c r="AC4" s="14"/>
      <c r="AO4" s="1" t="s">
        <v>152</v>
      </c>
      <c r="AW4" s="1" t="s">
        <v>222</v>
      </c>
      <c r="AX4" s="1"/>
      <c r="BA4" s="1"/>
      <c r="BB4" s="1"/>
      <c r="BG4"/>
      <c r="BT4"/>
      <c r="BU4"/>
      <c r="BV4"/>
      <c r="BW4"/>
      <c r="BX4"/>
      <c r="BY4"/>
      <c r="BZ4"/>
      <c r="CA4"/>
      <c r="CB4"/>
      <c r="CC4"/>
      <c r="CD4"/>
      <c r="CE4"/>
    </row>
    <row r="5" spans="1:83" s="2" customFormat="1" x14ac:dyDescent="0.45">
      <c r="A5" s="18" t="s">
        <v>186</v>
      </c>
      <c r="O5" s="1" t="s">
        <v>126</v>
      </c>
      <c r="AB5" s="1" t="s">
        <v>64</v>
      </c>
      <c r="AW5" s="134"/>
      <c r="AX5" s="172">
        <v>43568</v>
      </c>
      <c r="AY5" s="172">
        <v>43573</v>
      </c>
      <c r="AZ5" s="172">
        <v>43578</v>
      </c>
      <c r="BA5" s="173">
        <v>43583</v>
      </c>
      <c r="BB5" s="172">
        <v>43588</v>
      </c>
      <c r="BC5" s="172">
        <v>43593</v>
      </c>
      <c r="BD5" s="172">
        <v>43598</v>
      </c>
      <c r="BE5" s="172">
        <v>43603</v>
      </c>
      <c r="BF5" s="172">
        <v>43608</v>
      </c>
      <c r="BG5" s="22" t="s">
        <v>24</v>
      </c>
      <c r="BT5"/>
      <c r="BU5"/>
      <c r="BV5"/>
      <c r="BW5"/>
      <c r="BX5"/>
      <c r="BY5"/>
      <c r="BZ5"/>
      <c r="CA5"/>
      <c r="CB5"/>
      <c r="CC5"/>
      <c r="CD5"/>
      <c r="CE5"/>
    </row>
    <row r="6" spans="1:83" s="2" customFormat="1" x14ac:dyDescent="0.45">
      <c r="A6" s="18" t="s">
        <v>692</v>
      </c>
      <c r="P6" s="1" t="s">
        <v>20</v>
      </c>
      <c r="Q6" s="180"/>
      <c r="R6" s="180"/>
      <c r="S6" s="180"/>
      <c r="T6" s="1" t="s">
        <v>21</v>
      </c>
      <c r="U6" s="180"/>
      <c r="V6" s="180"/>
      <c r="W6" s="180"/>
      <c r="X6" s="180"/>
      <c r="Y6" s="180"/>
      <c r="AC6" s="1" t="s">
        <v>20</v>
      </c>
      <c r="AD6" s="180"/>
      <c r="AE6" s="180"/>
      <c r="AF6" s="180"/>
      <c r="AG6" s="1" t="s">
        <v>21</v>
      </c>
      <c r="AH6" s="180"/>
      <c r="AI6" s="180"/>
      <c r="AJ6" s="180"/>
      <c r="AK6" s="180"/>
      <c r="AL6" s="180"/>
      <c r="AO6" s="90"/>
      <c r="AP6" s="27" t="s">
        <v>128</v>
      </c>
      <c r="AQ6" s="27" t="s">
        <v>129</v>
      </c>
      <c r="AR6" s="27" t="s">
        <v>130</v>
      </c>
      <c r="AS6" s="27"/>
      <c r="AW6" s="133" t="s">
        <v>66</v>
      </c>
      <c r="AX6" s="86">
        <v>2</v>
      </c>
      <c r="AY6" s="86">
        <v>40</v>
      </c>
      <c r="AZ6" s="86">
        <v>89</v>
      </c>
      <c r="BA6" s="86">
        <v>65</v>
      </c>
      <c r="BB6" s="86">
        <v>769</v>
      </c>
      <c r="BC6" s="86">
        <v>3809</v>
      </c>
      <c r="BD6" s="86">
        <v>1521</v>
      </c>
      <c r="BE6" s="86">
        <v>1251</v>
      </c>
      <c r="BF6" s="86">
        <v>1077</v>
      </c>
      <c r="BG6" s="86">
        <f>SUM(AX6:BF6)</f>
        <v>8623</v>
      </c>
      <c r="BH6" s="17"/>
      <c r="BT6"/>
      <c r="BU6"/>
      <c r="BV6"/>
      <c r="BW6"/>
      <c r="BX6"/>
      <c r="BY6"/>
      <c r="BZ6"/>
      <c r="CA6"/>
      <c r="CB6"/>
      <c r="CC6"/>
      <c r="CD6"/>
      <c r="CE6"/>
    </row>
    <row r="7" spans="1:83" s="2" customFormat="1" x14ac:dyDescent="0.45">
      <c r="A7" s="18" t="s">
        <v>693</v>
      </c>
      <c r="N7" s="73" t="s">
        <v>141</v>
      </c>
      <c r="O7" s="26" t="s">
        <v>19</v>
      </c>
      <c r="P7" s="88">
        <v>13</v>
      </c>
      <c r="Q7" s="91">
        <v>18</v>
      </c>
      <c r="R7" s="91">
        <v>23</v>
      </c>
      <c r="S7" s="91">
        <v>28</v>
      </c>
      <c r="T7" s="91">
        <v>3</v>
      </c>
      <c r="U7" s="91">
        <v>8</v>
      </c>
      <c r="V7" s="91">
        <v>13</v>
      </c>
      <c r="W7" s="91">
        <v>18</v>
      </c>
      <c r="X7" s="91">
        <v>23</v>
      </c>
      <c r="Y7" s="8" t="s">
        <v>24</v>
      </c>
      <c r="AB7" s="26" t="s">
        <v>19</v>
      </c>
      <c r="AC7" s="88">
        <v>13</v>
      </c>
      <c r="AD7" s="91">
        <v>18</v>
      </c>
      <c r="AE7" s="91">
        <v>23</v>
      </c>
      <c r="AF7" s="91">
        <v>28</v>
      </c>
      <c r="AG7" s="91">
        <v>3</v>
      </c>
      <c r="AH7" s="91">
        <v>8</v>
      </c>
      <c r="AI7" s="91">
        <v>13</v>
      </c>
      <c r="AJ7" s="91">
        <v>18</v>
      </c>
      <c r="AK7" s="91">
        <v>23</v>
      </c>
      <c r="AL7" s="8" t="s">
        <v>24</v>
      </c>
      <c r="AN7" s="21"/>
      <c r="AO7" s="26" t="s">
        <v>19</v>
      </c>
      <c r="AP7" s="8" t="s">
        <v>131</v>
      </c>
      <c r="AQ7" s="8" t="s">
        <v>132</v>
      </c>
      <c r="AR7" s="8" t="s">
        <v>133</v>
      </c>
      <c r="AS7" s="8" t="s">
        <v>66</v>
      </c>
      <c r="AW7" s="90" t="s">
        <v>34</v>
      </c>
      <c r="AX7" s="86">
        <v>0</v>
      </c>
      <c r="AY7" s="86">
        <v>0</v>
      </c>
      <c r="AZ7" s="86">
        <v>14</v>
      </c>
      <c r="BA7" s="86">
        <v>6</v>
      </c>
      <c r="BB7" s="86">
        <v>197</v>
      </c>
      <c r="BC7" s="86">
        <v>1280</v>
      </c>
      <c r="BD7" s="86">
        <v>177</v>
      </c>
      <c r="BE7" s="86">
        <v>88</v>
      </c>
      <c r="BF7" s="86">
        <v>9</v>
      </c>
      <c r="BG7" s="86">
        <f t="shared" ref="BG7:BG12" si="0">SUM(AX7:BF7)</f>
        <v>1771</v>
      </c>
      <c r="BH7" s="17"/>
      <c r="BU7"/>
      <c r="BV7"/>
      <c r="BW7"/>
      <c r="BX7"/>
      <c r="BY7"/>
      <c r="BZ7"/>
      <c r="CA7"/>
      <c r="CB7"/>
      <c r="CC7"/>
      <c r="CD7"/>
      <c r="CE7"/>
    </row>
    <row r="8" spans="1:83" s="2" customFormat="1" x14ac:dyDescent="0.45">
      <c r="A8" s="18" t="s">
        <v>694</v>
      </c>
      <c r="L8"/>
      <c r="N8" s="73">
        <v>1</v>
      </c>
      <c r="O8" s="162" t="s">
        <v>1</v>
      </c>
      <c r="P8" s="86">
        <v>0</v>
      </c>
      <c r="Q8" s="86">
        <v>0</v>
      </c>
      <c r="R8" s="86">
        <v>0</v>
      </c>
      <c r="S8" s="86">
        <v>0</v>
      </c>
      <c r="T8" s="86">
        <v>4</v>
      </c>
      <c r="U8" s="86">
        <v>29</v>
      </c>
      <c r="V8" s="86">
        <v>48</v>
      </c>
      <c r="W8" s="86">
        <v>84</v>
      </c>
      <c r="X8" s="86">
        <v>39</v>
      </c>
      <c r="Y8" s="86">
        <v>204</v>
      </c>
      <c r="Z8" s="86"/>
      <c r="AB8" s="162" t="s">
        <v>11</v>
      </c>
      <c r="AC8" s="86">
        <v>0</v>
      </c>
      <c r="AD8" s="86">
        <v>0</v>
      </c>
      <c r="AE8" s="86">
        <v>0</v>
      </c>
      <c r="AF8" s="86">
        <v>0</v>
      </c>
      <c r="AG8" s="86">
        <v>343</v>
      </c>
      <c r="AH8" s="86">
        <v>1626</v>
      </c>
      <c r="AI8" s="86">
        <v>631</v>
      </c>
      <c r="AJ8" s="86">
        <v>320</v>
      </c>
      <c r="AK8" s="86">
        <v>21</v>
      </c>
      <c r="AL8" s="86">
        <v>2941</v>
      </c>
      <c r="AN8" s="21"/>
      <c r="AO8" s="162" t="s">
        <v>11</v>
      </c>
      <c r="AP8" s="86">
        <v>2737</v>
      </c>
      <c r="AQ8" s="86">
        <v>204</v>
      </c>
      <c r="AR8" s="86">
        <v>2500</v>
      </c>
      <c r="AS8" s="86">
        <v>2941</v>
      </c>
      <c r="AW8" s="90" t="s">
        <v>35</v>
      </c>
      <c r="AX8" s="86">
        <v>0</v>
      </c>
      <c r="AY8" s="86">
        <v>0</v>
      </c>
      <c r="AZ8" s="86">
        <v>18</v>
      </c>
      <c r="BA8" s="86">
        <v>0</v>
      </c>
      <c r="BB8" s="86">
        <v>0</v>
      </c>
      <c r="BC8" s="86">
        <v>91</v>
      </c>
      <c r="BD8" s="86">
        <v>162</v>
      </c>
      <c r="BE8" s="86">
        <v>85</v>
      </c>
      <c r="BF8" s="86">
        <v>0</v>
      </c>
      <c r="BG8" s="86">
        <f t="shared" si="0"/>
        <v>356</v>
      </c>
      <c r="BH8" s="17"/>
      <c r="BT8"/>
      <c r="BU8"/>
      <c r="BV8"/>
      <c r="BW8"/>
      <c r="BX8"/>
      <c r="BY8"/>
      <c r="BZ8"/>
      <c r="CA8"/>
      <c r="CB8"/>
      <c r="CC8"/>
      <c r="CD8"/>
      <c r="CE8"/>
    </row>
    <row r="9" spans="1:83" s="2" customFormat="1" x14ac:dyDescent="0.45">
      <c r="A9" s="18" t="s">
        <v>696</v>
      </c>
      <c r="L9"/>
      <c r="N9" s="73">
        <v>2</v>
      </c>
      <c r="O9" s="90" t="s">
        <v>45</v>
      </c>
      <c r="P9" s="86">
        <v>0</v>
      </c>
      <c r="Q9" s="86">
        <v>0</v>
      </c>
      <c r="R9" s="86">
        <v>0</v>
      </c>
      <c r="S9" s="86">
        <v>0</v>
      </c>
      <c r="T9" s="86">
        <v>0</v>
      </c>
      <c r="U9" s="86">
        <v>0</v>
      </c>
      <c r="V9" s="86">
        <v>0</v>
      </c>
      <c r="W9" s="86">
        <v>2</v>
      </c>
      <c r="X9" s="86">
        <v>0</v>
      </c>
      <c r="Y9" s="86">
        <v>2</v>
      </c>
      <c r="Z9" s="86"/>
      <c r="AB9" s="90" t="s">
        <v>17</v>
      </c>
      <c r="AC9" s="86">
        <v>0</v>
      </c>
      <c r="AD9" s="86">
        <v>0</v>
      </c>
      <c r="AE9" s="86">
        <v>0</v>
      </c>
      <c r="AF9" s="86">
        <v>0</v>
      </c>
      <c r="AG9" s="86">
        <v>0</v>
      </c>
      <c r="AH9" s="86">
        <v>1000</v>
      </c>
      <c r="AI9" s="86">
        <v>0</v>
      </c>
      <c r="AJ9" s="86">
        <v>512</v>
      </c>
      <c r="AK9" s="86">
        <v>1001</v>
      </c>
      <c r="AL9" s="86">
        <v>2513</v>
      </c>
      <c r="AN9" s="21"/>
      <c r="AO9" s="90" t="s">
        <v>17</v>
      </c>
      <c r="AP9" s="86">
        <v>12</v>
      </c>
      <c r="AQ9" s="86">
        <v>1</v>
      </c>
      <c r="AR9" s="86">
        <v>0</v>
      </c>
      <c r="AS9" s="86">
        <v>2513</v>
      </c>
      <c r="AW9" s="90" t="s">
        <v>170</v>
      </c>
      <c r="AX9" s="86">
        <v>2</v>
      </c>
      <c r="AY9" s="86">
        <v>25</v>
      </c>
      <c r="AZ9" s="86">
        <v>44</v>
      </c>
      <c r="BA9" s="86">
        <v>11</v>
      </c>
      <c r="BB9" s="86">
        <v>514</v>
      </c>
      <c r="BC9" s="86">
        <v>962</v>
      </c>
      <c r="BD9" s="86">
        <v>639</v>
      </c>
      <c r="BE9" s="86">
        <v>391</v>
      </c>
      <c r="BF9" s="86">
        <v>53</v>
      </c>
      <c r="BG9" s="86">
        <f t="shared" si="0"/>
        <v>2641</v>
      </c>
      <c r="BH9" s="17"/>
      <c r="BT9"/>
      <c r="BU9"/>
      <c r="BV9"/>
      <c r="BW9"/>
      <c r="BX9"/>
      <c r="BY9"/>
      <c r="BZ9"/>
      <c r="CA9"/>
      <c r="CB9"/>
      <c r="CC9"/>
      <c r="CD9"/>
      <c r="CE9"/>
    </row>
    <row r="10" spans="1:83" x14ac:dyDescent="0.45">
      <c r="A10" s="18" t="s">
        <v>695</v>
      </c>
      <c r="N10" s="73">
        <v>3</v>
      </c>
      <c r="O10" s="90" t="s">
        <v>41</v>
      </c>
      <c r="P10" s="86">
        <v>0</v>
      </c>
      <c r="Q10" s="86">
        <v>0</v>
      </c>
      <c r="R10" s="86">
        <v>5</v>
      </c>
      <c r="S10" s="86">
        <v>0</v>
      </c>
      <c r="T10" s="86">
        <v>6</v>
      </c>
      <c r="U10" s="86">
        <v>0</v>
      </c>
      <c r="V10" s="86">
        <v>2</v>
      </c>
      <c r="W10" s="86">
        <v>0</v>
      </c>
      <c r="X10" s="86">
        <v>0</v>
      </c>
      <c r="Y10" s="86">
        <v>13</v>
      </c>
      <c r="Z10" s="86"/>
      <c r="AB10" s="90" t="s">
        <v>18</v>
      </c>
      <c r="AC10" s="86">
        <v>0</v>
      </c>
      <c r="AD10" s="86">
        <v>0</v>
      </c>
      <c r="AE10" s="86">
        <v>0</v>
      </c>
      <c r="AF10" s="86">
        <v>0</v>
      </c>
      <c r="AG10" s="86">
        <v>70</v>
      </c>
      <c r="AH10" s="86">
        <v>410</v>
      </c>
      <c r="AI10" s="86">
        <v>334</v>
      </c>
      <c r="AJ10" s="86">
        <v>106</v>
      </c>
      <c r="AK10" s="86">
        <v>2</v>
      </c>
      <c r="AL10" s="86">
        <v>922</v>
      </c>
      <c r="AN10" s="21"/>
      <c r="AO10" s="90" t="s">
        <v>18</v>
      </c>
      <c r="AP10" s="86">
        <v>836</v>
      </c>
      <c r="AQ10" s="86">
        <v>86</v>
      </c>
      <c r="AR10" s="86">
        <v>0</v>
      </c>
      <c r="AS10" s="86">
        <v>922</v>
      </c>
      <c r="AW10" s="90" t="s">
        <v>36</v>
      </c>
      <c r="AX10" s="86">
        <v>0</v>
      </c>
      <c r="AY10" s="86">
        <v>0</v>
      </c>
      <c r="AZ10" s="86">
        <v>0</v>
      </c>
      <c r="BA10" s="86">
        <v>2</v>
      </c>
      <c r="BB10" s="86">
        <v>21</v>
      </c>
      <c r="BC10" s="86">
        <v>89</v>
      </c>
      <c r="BD10" s="86">
        <v>17</v>
      </c>
      <c r="BE10" s="86">
        <v>53</v>
      </c>
      <c r="BF10" s="86">
        <v>5</v>
      </c>
      <c r="BG10" s="86">
        <f t="shared" si="0"/>
        <v>187</v>
      </c>
      <c r="BH10" s="17"/>
      <c r="BR10" s="2"/>
    </row>
    <row r="11" spans="1:83" x14ac:dyDescent="0.45">
      <c r="N11" s="73">
        <v>4</v>
      </c>
      <c r="O11" s="90" t="s">
        <v>2</v>
      </c>
      <c r="P11" s="86">
        <v>1</v>
      </c>
      <c r="Q11" s="86">
        <v>25</v>
      </c>
      <c r="R11" s="86">
        <v>29</v>
      </c>
      <c r="S11" s="86">
        <v>9</v>
      </c>
      <c r="T11" s="86">
        <v>17</v>
      </c>
      <c r="U11" s="86">
        <v>22</v>
      </c>
      <c r="V11" s="86">
        <v>3</v>
      </c>
      <c r="W11" s="86">
        <v>0</v>
      </c>
      <c r="X11" s="86">
        <v>0</v>
      </c>
      <c r="Y11" s="86">
        <v>106</v>
      </c>
      <c r="Z11" s="86"/>
      <c r="AB11" s="90" t="s">
        <v>9</v>
      </c>
      <c r="AC11" s="86">
        <v>0</v>
      </c>
      <c r="AD11" s="86">
        <v>0</v>
      </c>
      <c r="AE11" s="86">
        <v>0</v>
      </c>
      <c r="AF11" s="86">
        <v>36</v>
      </c>
      <c r="AG11" s="86">
        <v>41</v>
      </c>
      <c r="AH11" s="86">
        <v>364</v>
      </c>
      <c r="AI11" s="86">
        <v>303</v>
      </c>
      <c r="AJ11" s="86">
        <v>106</v>
      </c>
      <c r="AK11" s="86">
        <v>0</v>
      </c>
      <c r="AL11" s="86">
        <v>850</v>
      </c>
      <c r="AN11" s="21"/>
      <c r="AO11" s="90" t="s">
        <v>9</v>
      </c>
      <c r="AP11" s="86">
        <v>133</v>
      </c>
      <c r="AQ11" s="86">
        <v>0</v>
      </c>
      <c r="AR11" s="86">
        <v>717</v>
      </c>
      <c r="AS11" s="86">
        <v>850</v>
      </c>
      <c r="AT11" s="2"/>
      <c r="AW11" s="90" t="s">
        <v>37</v>
      </c>
      <c r="AX11" s="86">
        <v>0</v>
      </c>
      <c r="AY11" s="86">
        <v>15</v>
      </c>
      <c r="AZ11" s="86">
        <v>11</v>
      </c>
      <c r="BA11" s="86">
        <v>7</v>
      </c>
      <c r="BB11" s="86">
        <v>37</v>
      </c>
      <c r="BC11" s="86">
        <v>63</v>
      </c>
      <c r="BD11" s="86">
        <v>219</v>
      </c>
      <c r="BE11" s="86">
        <v>62</v>
      </c>
      <c r="BF11" s="86">
        <v>6</v>
      </c>
      <c r="BG11" s="86">
        <f t="shared" si="0"/>
        <v>420</v>
      </c>
      <c r="BH11" s="17"/>
      <c r="BR11" s="2"/>
      <c r="BT11" s="2"/>
    </row>
    <row r="12" spans="1:83" x14ac:dyDescent="0.45">
      <c r="A12" s="1" t="s">
        <v>223</v>
      </c>
      <c r="B12" s="2"/>
      <c r="N12" s="73">
        <v>5</v>
      </c>
      <c r="O12" s="90" t="s">
        <v>43</v>
      </c>
      <c r="P12" s="86">
        <v>0</v>
      </c>
      <c r="Q12" s="86">
        <v>0</v>
      </c>
      <c r="R12" s="86">
        <v>2</v>
      </c>
      <c r="S12" s="86">
        <v>3</v>
      </c>
      <c r="T12" s="86">
        <v>0</v>
      </c>
      <c r="U12" s="86">
        <v>4</v>
      </c>
      <c r="V12" s="86">
        <v>4</v>
      </c>
      <c r="W12" s="86">
        <v>5</v>
      </c>
      <c r="X12" s="86">
        <v>4</v>
      </c>
      <c r="Y12" s="86">
        <v>22</v>
      </c>
      <c r="Z12" s="86"/>
      <c r="AB12" s="90" t="s">
        <v>14</v>
      </c>
      <c r="AC12" s="86">
        <v>0</v>
      </c>
      <c r="AD12" s="86">
        <v>0</v>
      </c>
      <c r="AE12" s="86">
        <v>0</v>
      </c>
      <c r="AF12" s="86">
        <v>0</v>
      </c>
      <c r="AG12" s="86">
        <v>206</v>
      </c>
      <c r="AH12" s="86">
        <v>256</v>
      </c>
      <c r="AI12" s="86">
        <v>89</v>
      </c>
      <c r="AJ12" s="86">
        <v>28</v>
      </c>
      <c r="AK12" s="86">
        <v>0</v>
      </c>
      <c r="AL12" s="86">
        <v>579</v>
      </c>
      <c r="AM12" s="17"/>
      <c r="AN12" s="21"/>
      <c r="AO12" s="90" t="s">
        <v>14</v>
      </c>
      <c r="AP12" s="86">
        <v>578</v>
      </c>
      <c r="AQ12" s="86">
        <v>1</v>
      </c>
      <c r="AR12" s="86">
        <v>0</v>
      </c>
      <c r="AS12" s="86">
        <v>579</v>
      </c>
      <c r="AW12" s="90" t="s">
        <v>38</v>
      </c>
      <c r="AX12" s="86">
        <v>0</v>
      </c>
      <c r="AY12" s="86">
        <v>0</v>
      </c>
      <c r="AZ12" s="86">
        <v>2</v>
      </c>
      <c r="BA12" s="86">
        <v>39</v>
      </c>
      <c r="BB12" s="86">
        <v>0</v>
      </c>
      <c r="BC12" s="86">
        <v>1324</v>
      </c>
      <c r="BD12" s="86">
        <v>307</v>
      </c>
      <c r="BE12" s="86">
        <v>572</v>
      </c>
      <c r="BF12" s="86">
        <v>1004</v>
      </c>
      <c r="BG12" s="86">
        <f t="shared" si="0"/>
        <v>3248</v>
      </c>
      <c r="BH12" s="17"/>
      <c r="BR12" s="2"/>
    </row>
    <row r="13" spans="1:83" x14ac:dyDescent="0.45">
      <c r="A13" s="1"/>
      <c r="B13" s="1"/>
      <c r="C13" s="2"/>
      <c r="D13" s="2"/>
      <c r="E13" s="2"/>
      <c r="F13" s="2"/>
      <c r="G13" s="2"/>
      <c r="H13" s="2"/>
      <c r="I13" s="2"/>
      <c r="J13" s="2"/>
      <c r="N13" s="73">
        <v>6</v>
      </c>
      <c r="O13" s="90" t="s">
        <v>3</v>
      </c>
      <c r="P13" s="86">
        <v>0</v>
      </c>
      <c r="Q13" s="86">
        <v>15</v>
      </c>
      <c r="R13" s="86">
        <v>49</v>
      </c>
      <c r="S13" s="86">
        <v>12</v>
      </c>
      <c r="T13" s="86">
        <v>2</v>
      </c>
      <c r="U13" s="86">
        <v>7</v>
      </c>
      <c r="V13" s="86">
        <v>0</v>
      </c>
      <c r="W13" s="86">
        <v>1</v>
      </c>
      <c r="X13" s="86">
        <v>2</v>
      </c>
      <c r="Y13" s="86">
        <v>88</v>
      </c>
      <c r="Z13" s="86"/>
      <c r="AB13" s="90" t="s">
        <v>1</v>
      </c>
      <c r="AC13" s="86">
        <v>0</v>
      </c>
      <c r="AD13" s="86">
        <v>0</v>
      </c>
      <c r="AE13" s="86">
        <v>0</v>
      </c>
      <c r="AF13" s="86">
        <v>0</v>
      </c>
      <c r="AG13" s="86">
        <v>4</v>
      </c>
      <c r="AH13" s="86">
        <v>29</v>
      </c>
      <c r="AI13" s="86">
        <v>48</v>
      </c>
      <c r="AJ13" s="86">
        <v>84</v>
      </c>
      <c r="AK13" s="86">
        <v>39</v>
      </c>
      <c r="AL13" s="86">
        <v>204</v>
      </c>
      <c r="AN13" s="171"/>
      <c r="AO13" s="90" t="s">
        <v>1</v>
      </c>
      <c r="AP13" s="86">
        <v>186</v>
      </c>
      <c r="AQ13" s="86">
        <v>18</v>
      </c>
      <c r="AR13" s="86">
        <v>0</v>
      </c>
      <c r="AS13" s="86">
        <v>204</v>
      </c>
      <c r="BG13" s="17"/>
      <c r="BR13" s="2"/>
      <c r="BT13" s="2"/>
    </row>
    <row r="14" spans="1:83" s="2" customFormat="1" x14ac:dyDescent="0.45">
      <c r="A14" s="2" t="s">
        <v>224</v>
      </c>
      <c r="B14" s="1"/>
      <c r="L14"/>
      <c r="O14" s="90" t="s">
        <v>48</v>
      </c>
      <c r="P14" s="86">
        <v>0</v>
      </c>
      <c r="Q14" s="86">
        <v>0</v>
      </c>
      <c r="R14" s="86">
        <v>0</v>
      </c>
      <c r="S14" s="86">
        <v>0</v>
      </c>
      <c r="T14" s="86">
        <v>2</v>
      </c>
      <c r="U14" s="86">
        <v>0</v>
      </c>
      <c r="V14" s="86">
        <v>0</v>
      </c>
      <c r="W14" s="86">
        <v>0</v>
      </c>
      <c r="X14" s="86">
        <v>0</v>
      </c>
      <c r="Y14" s="86">
        <v>2</v>
      </c>
      <c r="Z14" s="86"/>
      <c r="AB14" s="90" t="s">
        <v>47</v>
      </c>
      <c r="AC14" s="86">
        <v>0</v>
      </c>
      <c r="AD14" s="86">
        <v>0</v>
      </c>
      <c r="AE14" s="86">
        <v>0</v>
      </c>
      <c r="AF14" s="86">
        <v>0</v>
      </c>
      <c r="AG14" s="86">
        <v>33</v>
      </c>
      <c r="AH14" s="86">
        <v>53</v>
      </c>
      <c r="AI14" s="86">
        <v>68</v>
      </c>
      <c r="AJ14" s="86">
        <v>22</v>
      </c>
      <c r="AK14" s="86">
        <v>0</v>
      </c>
      <c r="AL14" s="86">
        <v>176</v>
      </c>
      <c r="AN14" s="21"/>
      <c r="AO14" s="90" t="s">
        <v>47</v>
      </c>
      <c r="AP14" s="86">
        <v>153</v>
      </c>
      <c r="AQ14" s="86">
        <v>23</v>
      </c>
      <c r="AR14" s="86">
        <v>0</v>
      </c>
      <c r="AS14" s="86">
        <v>176</v>
      </c>
      <c r="BH14" s="17"/>
    </row>
    <row r="15" spans="1:83" x14ac:dyDescent="0.45">
      <c r="A15" s="2" t="s">
        <v>252</v>
      </c>
      <c r="B15" s="1"/>
      <c r="C15" s="2"/>
      <c r="D15" s="2"/>
      <c r="E15" s="2"/>
      <c r="F15" s="2"/>
      <c r="G15" s="2"/>
      <c r="H15" s="2"/>
      <c r="I15" s="2"/>
      <c r="J15" s="2"/>
      <c r="K15" s="2"/>
      <c r="N15" s="73">
        <v>7</v>
      </c>
      <c r="O15" s="90" t="s">
        <v>7</v>
      </c>
      <c r="P15" s="86">
        <v>0</v>
      </c>
      <c r="Q15" s="86">
        <v>0</v>
      </c>
      <c r="R15" s="86">
        <v>0</v>
      </c>
      <c r="S15" s="86">
        <v>5</v>
      </c>
      <c r="T15" s="86">
        <v>19</v>
      </c>
      <c r="U15" s="86">
        <v>0</v>
      </c>
      <c r="V15" s="86">
        <v>3</v>
      </c>
      <c r="W15" s="86">
        <v>0</v>
      </c>
      <c r="X15" s="86">
        <v>0</v>
      </c>
      <c r="Y15" s="86">
        <v>27</v>
      </c>
      <c r="Z15" s="86"/>
      <c r="AB15" s="90" t="s">
        <v>2</v>
      </c>
      <c r="AC15" s="86">
        <v>1</v>
      </c>
      <c r="AD15" s="86">
        <v>25</v>
      </c>
      <c r="AE15" s="86">
        <v>29</v>
      </c>
      <c r="AF15" s="86">
        <v>9</v>
      </c>
      <c r="AG15" s="86">
        <v>17</v>
      </c>
      <c r="AH15" s="86">
        <v>22</v>
      </c>
      <c r="AI15" s="86">
        <v>3</v>
      </c>
      <c r="AJ15" s="86">
        <v>0</v>
      </c>
      <c r="AK15" s="86">
        <v>0</v>
      </c>
      <c r="AL15" s="86">
        <v>106</v>
      </c>
      <c r="AN15" s="21"/>
      <c r="AO15" s="90" t="s">
        <v>2</v>
      </c>
      <c r="AP15" s="86">
        <v>106</v>
      </c>
      <c r="AQ15" s="86">
        <v>0</v>
      </c>
      <c r="AR15" s="86">
        <v>0</v>
      </c>
      <c r="AS15" s="86">
        <v>106</v>
      </c>
      <c r="BR15" s="2"/>
    </row>
    <row r="16" spans="1:83" x14ac:dyDescent="0.45">
      <c r="A16" s="2" t="s">
        <v>158</v>
      </c>
      <c r="B16" s="1"/>
      <c r="C16" s="2"/>
      <c r="H16" s="2"/>
      <c r="I16" s="2"/>
      <c r="J16" s="2"/>
      <c r="K16" s="2"/>
      <c r="N16" s="73">
        <v>8</v>
      </c>
      <c r="O16" s="90" t="s">
        <v>51</v>
      </c>
      <c r="P16" s="86">
        <v>0</v>
      </c>
      <c r="Q16" s="86">
        <v>0</v>
      </c>
      <c r="R16" s="86">
        <v>0</v>
      </c>
      <c r="S16" s="86">
        <v>0</v>
      </c>
      <c r="T16" s="86">
        <v>0</v>
      </c>
      <c r="U16" s="86">
        <v>0</v>
      </c>
      <c r="V16" s="86">
        <v>0</v>
      </c>
      <c r="W16" s="86">
        <v>1</v>
      </c>
      <c r="X16" s="86">
        <v>0</v>
      </c>
      <c r="Y16" s="86">
        <v>1</v>
      </c>
      <c r="Z16" s="86"/>
      <c r="AB16" s="90" t="s">
        <v>3</v>
      </c>
      <c r="AC16" s="86">
        <v>0</v>
      </c>
      <c r="AD16" s="86">
        <v>15</v>
      </c>
      <c r="AE16" s="86">
        <v>49</v>
      </c>
      <c r="AF16" s="86">
        <v>12</v>
      </c>
      <c r="AG16" s="86">
        <v>2</v>
      </c>
      <c r="AH16" s="86">
        <v>7</v>
      </c>
      <c r="AI16" s="86">
        <v>0</v>
      </c>
      <c r="AJ16" s="86">
        <v>1</v>
      </c>
      <c r="AK16" s="86">
        <v>2</v>
      </c>
      <c r="AL16" s="86">
        <v>88</v>
      </c>
      <c r="AN16" s="21"/>
      <c r="AO16" s="90" t="s">
        <v>3</v>
      </c>
      <c r="AP16" s="86">
        <v>46</v>
      </c>
      <c r="AQ16" s="86">
        <v>42</v>
      </c>
      <c r="AR16" s="86">
        <v>0</v>
      </c>
      <c r="AS16" s="86">
        <v>88</v>
      </c>
      <c r="BR16" s="2"/>
    </row>
    <row r="17" spans="1:83" x14ac:dyDescent="0.45">
      <c r="A17" s="2" t="s">
        <v>62</v>
      </c>
      <c r="B17" s="2"/>
      <c r="C17" s="2"/>
      <c r="D17" s="2"/>
      <c r="E17" s="2"/>
      <c r="F17" s="2"/>
      <c r="G17" s="2"/>
      <c r="H17" s="2"/>
      <c r="I17" s="2"/>
      <c r="J17" s="2"/>
      <c r="K17" s="2"/>
      <c r="N17" s="73">
        <v>9</v>
      </c>
      <c r="O17" s="90" t="s">
        <v>42</v>
      </c>
      <c r="P17" s="86">
        <v>0</v>
      </c>
      <c r="Q17" s="86">
        <v>0</v>
      </c>
      <c r="R17" s="86">
        <v>0</v>
      </c>
      <c r="S17" s="86">
        <v>0</v>
      </c>
      <c r="T17" s="86">
        <v>1</v>
      </c>
      <c r="U17" s="86">
        <v>3</v>
      </c>
      <c r="V17" s="86">
        <v>0</v>
      </c>
      <c r="W17" s="86">
        <v>0</v>
      </c>
      <c r="X17" s="86">
        <v>0</v>
      </c>
      <c r="Y17" s="86">
        <v>4</v>
      </c>
      <c r="Z17" s="86"/>
      <c r="AB17" s="90" t="s">
        <v>12</v>
      </c>
      <c r="AC17" s="86">
        <v>0</v>
      </c>
      <c r="AD17" s="86">
        <v>0</v>
      </c>
      <c r="AE17" s="86">
        <v>0</v>
      </c>
      <c r="AF17" s="86">
        <v>0</v>
      </c>
      <c r="AG17" s="86">
        <v>24</v>
      </c>
      <c r="AH17" s="86">
        <v>18</v>
      </c>
      <c r="AI17" s="86">
        <v>15</v>
      </c>
      <c r="AJ17" s="86">
        <v>8</v>
      </c>
      <c r="AK17" s="86">
        <v>1</v>
      </c>
      <c r="AL17" s="86">
        <v>66</v>
      </c>
      <c r="AN17" s="21"/>
      <c r="AO17" s="90" t="s">
        <v>12</v>
      </c>
      <c r="AP17" s="86">
        <v>50</v>
      </c>
      <c r="AQ17" s="86">
        <v>16</v>
      </c>
      <c r="AR17" s="86">
        <v>0</v>
      </c>
      <c r="AS17" s="86">
        <v>66</v>
      </c>
      <c r="BR17" s="2"/>
    </row>
    <row r="18" spans="1:83" x14ac:dyDescent="0.45">
      <c r="A18" s="2" t="s">
        <v>139</v>
      </c>
      <c r="B18" s="2"/>
      <c r="C18" s="2"/>
      <c r="D18" s="2"/>
      <c r="E18" s="2"/>
      <c r="F18" s="2"/>
      <c r="G18" s="2"/>
      <c r="H18" s="2"/>
      <c r="I18" s="2"/>
      <c r="J18" s="2"/>
      <c r="K18" s="2"/>
      <c r="N18" s="73">
        <v>10</v>
      </c>
      <c r="O18" s="90" t="s">
        <v>8</v>
      </c>
      <c r="P18" s="86">
        <v>0</v>
      </c>
      <c r="Q18" s="86">
        <v>0</v>
      </c>
      <c r="R18" s="86">
        <v>0</v>
      </c>
      <c r="S18" s="86">
        <v>0</v>
      </c>
      <c r="T18" s="86">
        <v>0</v>
      </c>
      <c r="U18" s="86">
        <v>1</v>
      </c>
      <c r="V18" s="86">
        <v>18</v>
      </c>
      <c r="W18" s="86">
        <v>9</v>
      </c>
      <c r="X18" s="86">
        <v>0</v>
      </c>
      <c r="Y18" s="86">
        <v>28</v>
      </c>
      <c r="Z18" s="86"/>
      <c r="AB18" s="90" t="s">
        <v>13</v>
      </c>
      <c r="AC18" s="86">
        <v>0</v>
      </c>
      <c r="AD18" s="86">
        <v>0</v>
      </c>
      <c r="AE18" s="86">
        <v>0</v>
      </c>
      <c r="AF18" s="86">
        <v>0</v>
      </c>
      <c r="AG18" s="86">
        <v>0</v>
      </c>
      <c r="AH18" s="86">
        <v>0</v>
      </c>
      <c r="AI18" s="86">
        <v>0</v>
      </c>
      <c r="AJ18" s="86">
        <v>40</v>
      </c>
      <c r="AK18" s="86">
        <v>0</v>
      </c>
      <c r="AL18" s="86">
        <v>40</v>
      </c>
      <c r="AN18" s="21"/>
      <c r="AO18" s="90" t="s">
        <v>13</v>
      </c>
      <c r="AP18" s="86">
        <v>40</v>
      </c>
      <c r="AQ18" s="86">
        <v>0</v>
      </c>
      <c r="AR18" s="86">
        <v>0</v>
      </c>
      <c r="AS18" s="86">
        <v>40</v>
      </c>
      <c r="BR18" s="2"/>
      <c r="BT18" s="2"/>
    </row>
    <row r="19" spans="1:83" x14ac:dyDescent="0.45">
      <c r="A19" s="2" t="s">
        <v>169</v>
      </c>
      <c r="B19" s="1"/>
      <c r="C19" s="2"/>
      <c r="D19" s="2"/>
      <c r="E19" s="2"/>
      <c r="F19" s="2"/>
      <c r="G19" s="2"/>
      <c r="H19" s="2"/>
      <c r="I19" s="2"/>
      <c r="J19" s="2"/>
      <c r="K19" s="2"/>
      <c r="N19" s="73">
        <v>11</v>
      </c>
      <c r="O19" s="90" t="s">
        <v>9</v>
      </c>
      <c r="P19" s="86">
        <v>0</v>
      </c>
      <c r="Q19" s="86">
        <v>0</v>
      </c>
      <c r="R19" s="86">
        <v>0</v>
      </c>
      <c r="S19" s="86">
        <v>36</v>
      </c>
      <c r="T19" s="86">
        <v>41</v>
      </c>
      <c r="U19" s="86">
        <v>364</v>
      </c>
      <c r="V19" s="86">
        <v>303</v>
      </c>
      <c r="W19" s="86">
        <v>106</v>
      </c>
      <c r="X19" s="86">
        <v>0</v>
      </c>
      <c r="Y19" s="86">
        <v>850</v>
      </c>
      <c r="Z19" s="86"/>
      <c r="AB19" s="90" t="s">
        <v>8</v>
      </c>
      <c r="AC19" s="86">
        <v>0</v>
      </c>
      <c r="AD19" s="86">
        <v>0</v>
      </c>
      <c r="AE19" s="86">
        <v>0</v>
      </c>
      <c r="AF19" s="86">
        <v>0</v>
      </c>
      <c r="AG19" s="86">
        <v>0</v>
      </c>
      <c r="AH19" s="86">
        <v>1</v>
      </c>
      <c r="AI19" s="86">
        <v>18</v>
      </c>
      <c r="AJ19" s="86">
        <v>9</v>
      </c>
      <c r="AK19" s="86">
        <v>0</v>
      </c>
      <c r="AL19" s="86">
        <v>28</v>
      </c>
      <c r="AN19" s="21"/>
      <c r="AO19" s="90" t="s">
        <v>8</v>
      </c>
      <c r="AP19" s="86">
        <v>23</v>
      </c>
      <c r="AQ19" s="86">
        <v>0</v>
      </c>
      <c r="AR19" s="86">
        <v>5</v>
      </c>
      <c r="AS19" s="86">
        <v>28</v>
      </c>
      <c r="BR19" s="2"/>
      <c r="BT19" s="2"/>
    </row>
    <row r="20" spans="1:83" x14ac:dyDescent="0.45">
      <c r="A20" s="2" t="s">
        <v>168</v>
      </c>
      <c r="B20" s="1"/>
      <c r="C20" s="2"/>
      <c r="D20" s="2"/>
      <c r="E20" s="2"/>
      <c r="F20" s="2"/>
      <c r="G20" s="2"/>
      <c r="H20" s="2"/>
      <c r="J20" s="2"/>
      <c r="K20" s="2"/>
      <c r="N20" s="73">
        <v>12</v>
      </c>
      <c r="O20" s="90" t="s">
        <v>44</v>
      </c>
      <c r="P20" s="86">
        <v>0</v>
      </c>
      <c r="Q20" s="86">
        <v>0</v>
      </c>
      <c r="R20" s="86">
        <v>2</v>
      </c>
      <c r="S20" s="86">
        <v>0</v>
      </c>
      <c r="T20" s="86">
        <v>0</v>
      </c>
      <c r="U20" s="86">
        <v>1</v>
      </c>
      <c r="V20" s="86">
        <v>0</v>
      </c>
      <c r="W20" s="86">
        <v>0</v>
      </c>
      <c r="X20" s="86">
        <v>2</v>
      </c>
      <c r="Y20" s="86">
        <v>5</v>
      </c>
      <c r="Z20" s="86"/>
      <c r="AB20" s="90" t="s">
        <v>7</v>
      </c>
      <c r="AC20" s="86">
        <v>0</v>
      </c>
      <c r="AD20" s="86">
        <v>0</v>
      </c>
      <c r="AE20" s="86">
        <v>0</v>
      </c>
      <c r="AF20" s="86">
        <v>5</v>
      </c>
      <c r="AG20" s="86">
        <v>19</v>
      </c>
      <c r="AH20" s="86">
        <v>0</v>
      </c>
      <c r="AI20" s="86">
        <v>3</v>
      </c>
      <c r="AJ20" s="86">
        <v>0</v>
      </c>
      <c r="AK20" s="86">
        <v>0</v>
      </c>
      <c r="AL20" s="86">
        <v>27</v>
      </c>
      <c r="AN20" s="21"/>
      <c r="AO20" s="90" t="s">
        <v>7</v>
      </c>
      <c r="AP20" s="86">
        <v>6</v>
      </c>
      <c r="AQ20" s="86">
        <v>21</v>
      </c>
      <c r="AR20" s="86">
        <v>0</v>
      </c>
      <c r="AS20" s="86">
        <v>27</v>
      </c>
      <c r="BR20" s="2"/>
      <c r="BT20" s="2"/>
    </row>
    <row r="21" spans="1:83" x14ac:dyDescent="0.45">
      <c r="A21" s="2" t="s">
        <v>137</v>
      </c>
      <c r="B21" s="1"/>
      <c r="C21" s="2"/>
      <c r="D21" s="2"/>
      <c r="E21" s="2"/>
      <c r="F21" s="2"/>
      <c r="G21" s="2"/>
      <c r="H21" s="2"/>
      <c r="I21" s="2"/>
      <c r="J21" s="2"/>
      <c r="K21" s="2"/>
      <c r="N21" s="73">
        <v>13</v>
      </c>
      <c r="O21" s="90" t="s">
        <v>10</v>
      </c>
      <c r="P21" s="86">
        <v>0</v>
      </c>
      <c r="Q21" s="86">
        <v>0</v>
      </c>
      <c r="R21" s="86">
        <v>0</v>
      </c>
      <c r="S21" s="86">
        <v>0</v>
      </c>
      <c r="T21" s="86">
        <v>1</v>
      </c>
      <c r="U21" s="86">
        <v>15</v>
      </c>
      <c r="V21" s="86">
        <v>2</v>
      </c>
      <c r="W21" s="86">
        <v>4</v>
      </c>
      <c r="X21" s="86">
        <v>0</v>
      </c>
      <c r="Y21" s="86">
        <v>22</v>
      </c>
      <c r="Z21" s="86"/>
      <c r="AA21" s="2"/>
      <c r="AB21" s="90" t="s">
        <v>43</v>
      </c>
      <c r="AC21" s="86">
        <v>0</v>
      </c>
      <c r="AD21" s="86">
        <v>0</v>
      </c>
      <c r="AE21" s="86">
        <v>2</v>
      </c>
      <c r="AF21" s="86">
        <v>3</v>
      </c>
      <c r="AG21" s="86">
        <v>0</v>
      </c>
      <c r="AH21" s="86">
        <v>4</v>
      </c>
      <c r="AI21" s="86">
        <v>4</v>
      </c>
      <c r="AJ21" s="86">
        <v>5</v>
      </c>
      <c r="AK21" s="86">
        <v>4</v>
      </c>
      <c r="AL21" s="86">
        <v>22</v>
      </c>
      <c r="AM21" s="2"/>
      <c r="AN21" s="21"/>
      <c r="AO21" s="90" t="s">
        <v>43</v>
      </c>
      <c r="AP21" s="86">
        <v>0</v>
      </c>
      <c r="AQ21" s="86">
        <v>0</v>
      </c>
      <c r="AR21" s="86">
        <v>22</v>
      </c>
      <c r="AS21" s="86">
        <v>22</v>
      </c>
      <c r="AT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row>
    <row r="22" spans="1:83" x14ac:dyDescent="0.45">
      <c r="A22" s="2" t="s">
        <v>208</v>
      </c>
      <c r="B22" s="14"/>
      <c r="C22" s="14"/>
      <c r="D22" s="2"/>
      <c r="E22" s="2"/>
      <c r="F22" s="2"/>
      <c r="G22" s="2"/>
      <c r="K22" s="2"/>
      <c r="N22" s="73">
        <v>14</v>
      </c>
      <c r="O22" s="90" t="s">
        <v>11</v>
      </c>
      <c r="P22" s="86">
        <v>0</v>
      </c>
      <c r="Q22" s="86">
        <v>0</v>
      </c>
      <c r="R22" s="86">
        <v>0</v>
      </c>
      <c r="S22" s="86">
        <v>0</v>
      </c>
      <c r="T22" s="86">
        <v>343</v>
      </c>
      <c r="U22" s="86">
        <v>1626</v>
      </c>
      <c r="V22" s="86">
        <v>631</v>
      </c>
      <c r="W22" s="86">
        <v>320</v>
      </c>
      <c r="X22" s="86">
        <v>21</v>
      </c>
      <c r="Y22" s="86">
        <v>2941</v>
      </c>
      <c r="Z22" s="86"/>
      <c r="AA22" s="2"/>
      <c r="AB22" s="90" t="s">
        <v>10</v>
      </c>
      <c r="AC22" s="86">
        <v>0</v>
      </c>
      <c r="AD22" s="86">
        <v>0</v>
      </c>
      <c r="AE22" s="86">
        <v>0</v>
      </c>
      <c r="AF22" s="86">
        <v>0</v>
      </c>
      <c r="AG22" s="86">
        <v>1</v>
      </c>
      <c r="AH22" s="86">
        <v>15</v>
      </c>
      <c r="AI22" s="86">
        <v>2</v>
      </c>
      <c r="AJ22" s="86">
        <v>4</v>
      </c>
      <c r="AK22" s="86">
        <v>0</v>
      </c>
      <c r="AL22" s="86">
        <v>22</v>
      </c>
      <c r="AM22" s="2"/>
      <c r="AN22" s="21"/>
      <c r="AO22" s="90" t="s">
        <v>10</v>
      </c>
      <c r="AP22" s="86">
        <v>19</v>
      </c>
      <c r="AQ22" s="86">
        <v>0</v>
      </c>
      <c r="AR22" s="86">
        <v>3</v>
      </c>
      <c r="AS22" s="86">
        <v>22</v>
      </c>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row>
    <row r="23" spans="1:83" x14ac:dyDescent="0.45">
      <c r="D23" s="14"/>
      <c r="E23" s="14"/>
      <c r="F23" s="14"/>
      <c r="N23" s="73">
        <v>15</v>
      </c>
      <c r="O23" s="90" t="s">
        <v>12</v>
      </c>
      <c r="P23" s="86">
        <v>0</v>
      </c>
      <c r="Q23" s="86">
        <v>0</v>
      </c>
      <c r="R23" s="86">
        <v>0</v>
      </c>
      <c r="S23" s="86">
        <v>0</v>
      </c>
      <c r="T23" s="86">
        <v>24</v>
      </c>
      <c r="U23" s="86">
        <v>18</v>
      </c>
      <c r="V23" s="86">
        <v>15</v>
      </c>
      <c r="W23" s="86">
        <v>8</v>
      </c>
      <c r="X23" s="86">
        <v>1</v>
      </c>
      <c r="Y23" s="86">
        <v>66</v>
      </c>
      <c r="Z23" s="86"/>
      <c r="AA23" s="2"/>
      <c r="AB23" s="90" t="s">
        <v>41</v>
      </c>
      <c r="AC23" s="86">
        <v>0</v>
      </c>
      <c r="AD23" s="86">
        <v>0</v>
      </c>
      <c r="AE23" s="86">
        <v>5</v>
      </c>
      <c r="AF23" s="86">
        <v>0</v>
      </c>
      <c r="AG23" s="86">
        <v>6</v>
      </c>
      <c r="AH23" s="86">
        <v>0</v>
      </c>
      <c r="AI23" s="86">
        <v>2</v>
      </c>
      <c r="AJ23" s="86">
        <v>0</v>
      </c>
      <c r="AK23" s="86">
        <v>0</v>
      </c>
      <c r="AL23" s="86">
        <v>13</v>
      </c>
      <c r="AM23" s="2"/>
      <c r="AN23" s="21"/>
      <c r="AO23" s="90" t="s">
        <v>41</v>
      </c>
      <c r="AP23" s="86">
        <v>13</v>
      </c>
      <c r="AQ23" s="86">
        <v>0</v>
      </c>
      <c r="AR23" s="86">
        <v>0</v>
      </c>
      <c r="AS23" s="86">
        <v>13</v>
      </c>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row>
    <row r="24" spans="1:83" x14ac:dyDescent="0.45">
      <c r="O24" s="90" t="s">
        <v>18</v>
      </c>
      <c r="P24" s="86">
        <v>0</v>
      </c>
      <c r="Q24" s="86">
        <v>0</v>
      </c>
      <c r="R24" s="86">
        <v>0</v>
      </c>
      <c r="S24" s="86">
        <v>0</v>
      </c>
      <c r="T24" s="86">
        <v>70</v>
      </c>
      <c r="U24" s="86">
        <v>410</v>
      </c>
      <c r="V24" s="86">
        <v>334</v>
      </c>
      <c r="W24" s="86">
        <v>106</v>
      </c>
      <c r="X24" s="86">
        <v>2</v>
      </c>
      <c r="Y24" s="86">
        <v>922</v>
      </c>
      <c r="Z24" s="86"/>
      <c r="AA24" s="2"/>
      <c r="AB24" s="90" t="s">
        <v>44</v>
      </c>
      <c r="AC24" s="86">
        <v>0</v>
      </c>
      <c r="AD24" s="86">
        <v>0</v>
      </c>
      <c r="AE24" s="86">
        <v>2</v>
      </c>
      <c r="AF24" s="86">
        <v>0</v>
      </c>
      <c r="AG24" s="86">
        <v>0</v>
      </c>
      <c r="AH24" s="86">
        <v>1</v>
      </c>
      <c r="AI24" s="86">
        <v>0</v>
      </c>
      <c r="AJ24" s="86">
        <v>0</v>
      </c>
      <c r="AK24" s="86">
        <v>2</v>
      </c>
      <c r="AL24" s="86">
        <v>5</v>
      </c>
      <c r="AM24" s="2"/>
      <c r="AN24" s="21"/>
      <c r="AO24" s="90" t="s">
        <v>44</v>
      </c>
      <c r="AP24" s="86">
        <v>5</v>
      </c>
      <c r="AQ24" s="86">
        <v>0</v>
      </c>
      <c r="AR24" s="86">
        <v>0</v>
      </c>
      <c r="AS24" s="86">
        <v>5</v>
      </c>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row>
    <row r="25" spans="1:83" x14ac:dyDescent="0.45">
      <c r="A25" s="1" t="s">
        <v>225</v>
      </c>
      <c r="B25" s="14"/>
      <c r="C25" s="2"/>
      <c r="D25" s="2"/>
      <c r="E25" s="2"/>
      <c r="F25" s="2"/>
      <c r="G25" s="2"/>
      <c r="H25" s="2"/>
      <c r="I25" s="2"/>
      <c r="J25" s="2"/>
      <c r="K25" s="2"/>
      <c r="N25" s="73">
        <v>16</v>
      </c>
      <c r="O25" s="90" t="s">
        <v>46</v>
      </c>
      <c r="P25" s="86">
        <v>0</v>
      </c>
      <c r="Q25" s="86">
        <v>0</v>
      </c>
      <c r="R25" s="86">
        <v>0</v>
      </c>
      <c r="S25" s="86">
        <v>0</v>
      </c>
      <c r="T25" s="86">
        <v>0</v>
      </c>
      <c r="U25" s="86">
        <v>0</v>
      </c>
      <c r="V25" s="86">
        <v>0</v>
      </c>
      <c r="W25" s="86">
        <v>1</v>
      </c>
      <c r="X25" s="86">
        <v>0</v>
      </c>
      <c r="Y25" s="86">
        <v>1</v>
      </c>
      <c r="Z25" s="86"/>
      <c r="AA25" s="2"/>
      <c r="AB25" s="90" t="s">
        <v>42</v>
      </c>
      <c r="AC25" s="86">
        <v>0</v>
      </c>
      <c r="AD25" s="86">
        <v>0</v>
      </c>
      <c r="AE25" s="86">
        <v>0</v>
      </c>
      <c r="AF25" s="86">
        <v>0</v>
      </c>
      <c r="AG25" s="86">
        <v>1</v>
      </c>
      <c r="AH25" s="86">
        <v>3</v>
      </c>
      <c r="AI25" s="86">
        <v>0</v>
      </c>
      <c r="AJ25" s="86">
        <v>0</v>
      </c>
      <c r="AK25" s="86">
        <v>0</v>
      </c>
      <c r="AL25" s="86">
        <v>4</v>
      </c>
      <c r="AM25" s="2"/>
      <c r="AN25" s="21"/>
      <c r="AO25" s="90" t="s">
        <v>42</v>
      </c>
      <c r="AP25" s="86">
        <v>3</v>
      </c>
      <c r="AQ25" s="86">
        <v>1</v>
      </c>
      <c r="AR25" s="86">
        <v>0</v>
      </c>
      <c r="AS25" s="86">
        <v>4</v>
      </c>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row>
    <row r="26" spans="1:83" x14ac:dyDescent="0.45">
      <c r="A26" s="1" t="s">
        <v>56</v>
      </c>
      <c r="B26" s="2"/>
      <c r="C26" s="2"/>
      <c r="D26" s="2"/>
      <c r="E26" s="2"/>
      <c r="F26" s="2"/>
      <c r="G26" s="2"/>
      <c r="H26" s="2"/>
      <c r="I26" s="2"/>
      <c r="J26" s="2"/>
      <c r="K26" s="2"/>
      <c r="N26" s="73">
        <v>17</v>
      </c>
      <c r="O26" s="90" t="s">
        <v>13</v>
      </c>
      <c r="P26" s="86">
        <v>0</v>
      </c>
      <c r="Q26" s="86">
        <v>0</v>
      </c>
      <c r="R26" s="86">
        <v>0</v>
      </c>
      <c r="S26" s="86">
        <v>0</v>
      </c>
      <c r="T26" s="86">
        <v>0</v>
      </c>
      <c r="U26" s="86">
        <v>0</v>
      </c>
      <c r="V26" s="86">
        <v>0</v>
      </c>
      <c r="W26" s="86">
        <v>40</v>
      </c>
      <c r="X26" s="86">
        <v>0</v>
      </c>
      <c r="Y26" s="86">
        <v>40</v>
      </c>
      <c r="Z26" s="86"/>
      <c r="AA26" s="2"/>
      <c r="AB26" s="90" t="s">
        <v>40</v>
      </c>
      <c r="AC26" s="86">
        <v>1</v>
      </c>
      <c r="AD26" s="86">
        <v>0</v>
      </c>
      <c r="AE26" s="86">
        <v>1</v>
      </c>
      <c r="AF26" s="86">
        <v>0</v>
      </c>
      <c r="AG26" s="86">
        <v>0</v>
      </c>
      <c r="AH26" s="86">
        <v>0</v>
      </c>
      <c r="AI26" s="86">
        <v>0</v>
      </c>
      <c r="AJ26" s="86">
        <v>1</v>
      </c>
      <c r="AK26" s="86">
        <v>0</v>
      </c>
      <c r="AL26" s="86">
        <v>3</v>
      </c>
      <c r="AM26" s="2"/>
      <c r="AN26" s="21"/>
      <c r="AO26" s="90" t="s">
        <v>40</v>
      </c>
      <c r="AP26" s="86">
        <v>2</v>
      </c>
      <c r="AQ26" s="86">
        <v>0</v>
      </c>
      <c r="AR26" s="86">
        <v>1</v>
      </c>
      <c r="AS26" s="86">
        <v>3</v>
      </c>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row>
    <row r="27" spans="1:83" x14ac:dyDescent="0.45">
      <c r="A27" s="1" t="s">
        <v>143</v>
      </c>
      <c r="B27" s="2"/>
      <c r="C27" s="2"/>
      <c r="D27" s="2"/>
      <c r="E27" s="2"/>
      <c r="F27" s="2"/>
      <c r="G27" s="2"/>
      <c r="H27" s="2"/>
      <c r="I27" s="2"/>
      <c r="J27" s="2"/>
      <c r="K27" s="2"/>
      <c r="N27" s="73">
        <v>18</v>
      </c>
      <c r="O27" s="90" t="s">
        <v>14</v>
      </c>
      <c r="P27" s="86">
        <v>0</v>
      </c>
      <c r="Q27" s="86">
        <v>0</v>
      </c>
      <c r="R27" s="86">
        <v>0</v>
      </c>
      <c r="S27" s="86">
        <v>0</v>
      </c>
      <c r="T27" s="86">
        <v>206</v>
      </c>
      <c r="U27" s="86">
        <v>256</v>
      </c>
      <c r="V27" s="86">
        <v>89</v>
      </c>
      <c r="W27" s="86">
        <v>28</v>
      </c>
      <c r="X27" s="86">
        <v>0</v>
      </c>
      <c r="Y27" s="86">
        <v>579</v>
      </c>
      <c r="Z27" s="86"/>
      <c r="AA27" s="2"/>
      <c r="AB27" s="90" t="s">
        <v>54</v>
      </c>
      <c r="AC27" s="86">
        <v>0</v>
      </c>
      <c r="AD27" s="86">
        <v>0</v>
      </c>
      <c r="AE27" s="86">
        <v>0</v>
      </c>
      <c r="AF27" s="86">
        <v>0</v>
      </c>
      <c r="AG27" s="86">
        <v>0</v>
      </c>
      <c r="AH27" s="86">
        <v>0</v>
      </c>
      <c r="AI27" s="86">
        <v>0</v>
      </c>
      <c r="AJ27" s="86">
        <v>0</v>
      </c>
      <c r="AK27" s="86">
        <v>3</v>
      </c>
      <c r="AL27" s="86">
        <v>3</v>
      </c>
      <c r="AM27" s="2"/>
      <c r="AN27" s="21"/>
      <c r="AO27" s="90" t="s">
        <v>54</v>
      </c>
      <c r="AP27" s="86">
        <v>2</v>
      </c>
      <c r="AQ27" s="86">
        <v>1</v>
      </c>
      <c r="AR27" s="86">
        <v>0</v>
      </c>
      <c r="AS27" s="86">
        <v>3</v>
      </c>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row>
    <row r="28" spans="1:83" x14ac:dyDescent="0.45">
      <c r="A28" s="2"/>
      <c r="B28" s="1" t="s">
        <v>20</v>
      </c>
      <c r="C28" s="2"/>
      <c r="D28" s="2"/>
      <c r="F28" s="1" t="s">
        <v>21</v>
      </c>
      <c r="G28" s="2"/>
      <c r="H28" s="2"/>
      <c r="I28" s="2"/>
      <c r="J28" s="2"/>
      <c r="K28" s="2"/>
      <c r="N28" s="73">
        <v>19</v>
      </c>
      <c r="O28" s="90" t="s">
        <v>40</v>
      </c>
      <c r="P28" s="86">
        <v>1</v>
      </c>
      <c r="Q28" s="86">
        <v>0</v>
      </c>
      <c r="R28" s="86">
        <v>1</v>
      </c>
      <c r="S28" s="86">
        <v>0</v>
      </c>
      <c r="T28" s="86">
        <v>0</v>
      </c>
      <c r="U28" s="86">
        <v>0</v>
      </c>
      <c r="V28" s="86">
        <v>0</v>
      </c>
      <c r="W28" s="86">
        <v>1</v>
      </c>
      <c r="X28" s="86">
        <v>0</v>
      </c>
      <c r="Y28" s="86">
        <v>3</v>
      </c>
      <c r="Z28" s="86"/>
      <c r="AA28" s="2"/>
      <c r="AB28" s="90" t="s">
        <v>16</v>
      </c>
      <c r="AC28" s="86">
        <v>0</v>
      </c>
      <c r="AD28" s="86">
        <v>0</v>
      </c>
      <c r="AE28" s="86">
        <v>1</v>
      </c>
      <c r="AF28" s="86">
        <v>0</v>
      </c>
      <c r="AG28" s="86">
        <v>0</v>
      </c>
      <c r="AH28" s="86">
        <v>0</v>
      </c>
      <c r="AI28" s="86">
        <v>1</v>
      </c>
      <c r="AJ28" s="86">
        <v>1</v>
      </c>
      <c r="AK28" s="86">
        <v>0</v>
      </c>
      <c r="AL28" s="86">
        <v>3</v>
      </c>
      <c r="AM28" s="2"/>
      <c r="AN28" s="21"/>
      <c r="AO28" s="90" t="s">
        <v>16</v>
      </c>
      <c r="AP28" s="86">
        <v>1</v>
      </c>
      <c r="AQ28" s="86">
        <v>2</v>
      </c>
      <c r="AR28" s="86">
        <v>0</v>
      </c>
      <c r="AS28" s="86">
        <v>3</v>
      </c>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row>
    <row r="29" spans="1:83" x14ac:dyDescent="0.45">
      <c r="A29" s="26" t="s">
        <v>19</v>
      </c>
      <c r="B29" s="5">
        <v>13</v>
      </c>
      <c r="C29" s="91">
        <v>18</v>
      </c>
      <c r="D29" s="91">
        <v>23</v>
      </c>
      <c r="E29" s="91">
        <v>28</v>
      </c>
      <c r="F29" s="91">
        <v>3</v>
      </c>
      <c r="G29" s="91">
        <v>8</v>
      </c>
      <c r="H29" s="91">
        <v>13</v>
      </c>
      <c r="I29" s="91">
        <v>18</v>
      </c>
      <c r="J29" s="91">
        <v>23</v>
      </c>
      <c r="K29" s="8" t="s">
        <v>24</v>
      </c>
      <c r="N29" s="73">
        <v>20</v>
      </c>
      <c r="O29" s="90" t="s">
        <v>15</v>
      </c>
      <c r="P29" s="86">
        <v>0</v>
      </c>
      <c r="Q29" s="86">
        <v>0</v>
      </c>
      <c r="R29" s="86">
        <v>0</v>
      </c>
      <c r="S29" s="86">
        <v>0</v>
      </c>
      <c r="T29" s="86">
        <v>0</v>
      </c>
      <c r="U29" s="86">
        <v>0</v>
      </c>
      <c r="V29" s="86">
        <v>0</v>
      </c>
      <c r="W29" s="86">
        <v>0</v>
      </c>
      <c r="X29" s="86">
        <v>2</v>
      </c>
      <c r="Y29" s="86">
        <v>2</v>
      </c>
      <c r="Z29" s="86"/>
      <c r="AA29" s="2"/>
      <c r="AB29" s="90" t="s">
        <v>45</v>
      </c>
      <c r="AC29" s="86">
        <v>0</v>
      </c>
      <c r="AD29" s="86">
        <v>0</v>
      </c>
      <c r="AE29" s="86">
        <v>0</v>
      </c>
      <c r="AF29" s="86">
        <v>0</v>
      </c>
      <c r="AG29" s="86">
        <v>0</v>
      </c>
      <c r="AH29" s="86">
        <v>0</v>
      </c>
      <c r="AI29" s="86">
        <v>0</v>
      </c>
      <c r="AJ29" s="86">
        <v>2</v>
      </c>
      <c r="AK29" s="86">
        <v>0</v>
      </c>
      <c r="AL29" s="86">
        <v>2</v>
      </c>
      <c r="AM29" s="2"/>
      <c r="AN29" s="21"/>
      <c r="AO29" s="90" t="s">
        <v>45</v>
      </c>
      <c r="AP29" s="86">
        <v>0</v>
      </c>
      <c r="AQ29" s="86">
        <v>2</v>
      </c>
      <c r="AR29" s="86">
        <v>0</v>
      </c>
      <c r="AS29" s="86">
        <v>2</v>
      </c>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row>
    <row r="30" spans="1:83" x14ac:dyDescent="0.45">
      <c r="A30" s="3" t="s">
        <v>1</v>
      </c>
      <c r="B30" s="17">
        <f t="shared" ref="B30:J30" si="1">SUM(B74+B117+B160+B203+B246+B289)</f>
        <v>0</v>
      </c>
      <c r="C30" s="17">
        <f t="shared" si="1"/>
        <v>0</v>
      </c>
      <c r="D30" s="17">
        <f t="shared" si="1"/>
        <v>0</v>
      </c>
      <c r="E30" s="17">
        <f t="shared" si="1"/>
        <v>0</v>
      </c>
      <c r="F30" s="17">
        <f t="shared" si="1"/>
        <v>4</v>
      </c>
      <c r="G30" s="17">
        <f t="shared" si="1"/>
        <v>29</v>
      </c>
      <c r="H30" s="17">
        <f t="shared" si="1"/>
        <v>48</v>
      </c>
      <c r="I30" s="17">
        <f t="shared" si="1"/>
        <v>84</v>
      </c>
      <c r="J30" s="17">
        <f t="shared" si="1"/>
        <v>39</v>
      </c>
      <c r="K30" s="17">
        <f t="shared" ref="K30:K64" si="2">SUM(B30:J30)</f>
        <v>204</v>
      </c>
      <c r="N30" s="73">
        <v>21</v>
      </c>
      <c r="O30" s="90" t="s">
        <v>54</v>
      </c>
      <c r="P30" s="86">
        <v>0</v>
      </c>
      <c r="Q30" s="86">
        <v>0</v>
      </c>
      <c r="R30" s="86">
        <v>0</v>
      </c>
      <c r="S30" s="86">
        <v>0</v>
      </c>
      <c r="T30" s="86">
        <v>0</v>
      </c>
      <c r="U30" s="86">
        <v>0</v>
      </c>
      <c r="V30" s="86">
        <v>0</v>
      </c>
      <c r="W30" s="86">
        <v>0</v>
      </c>
      <c r="X30" s="86">
        <v>3</v>
      </c>
      <c r="Y30" s="86">
        <v>3</v>
      </c>
      <c r="Z30" s="86"/>
      <c r="AA30" s="2"/>
      <c r="AB30" s="90" t="s">
        <v>48</v>
      </c>
      <c r="AC30" s="86">
        <v>0</v>
      </c>
      <c r="AD30" s="86">
        <v>0</v>
      </c>
      <c r="AE30" s="86">
        <v>0</v>
      </c>
      <c r="AF30" s="86">
        <v>0</v>
      </c>
      <c r="AG30" s="86">
        <v>2</v>
      </c>
      <c r="AH30" s="86">
        <v>0</v>
      </c>
      <c r="AI30" s="86">
        <v>0</v>
      </c>
      <c r="AJ30" s="86">
        <v>0</v>
      </c>
      <c r="AK30" s="86">
        <v>0</v>
      </c>
      <c r="AL30" s="86">
        <v>2</v>
      </c>
      <c r="AM30" s="2"/>
      <c r="AN30" s="137"/>
      <c r="AO30" s="90" t="s">
        <v>48</v>
      </c>
      <c r="AP30" s="86">
        <v>2</v>
      </c>
      <c r="AQ30" s="86">
        <v>0</v>
      </c>
      <c r="AR30" s="86">
        <v>0</v>
      </c>
      <c r="AS30" s="86">
        <v>2</v>
      </c>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row>
    <row r="31" spans="1:83" x14ac:dyDescent="0.45">
      <c r="A31" s="83" t="s">
        <v>49</v>
      </c>
      <c r="B31" s="17">
        <f t="shared" ref="B31:J31" si="3">SUM(B75+B118+B161+B204+B247+B290)</f>
        <v>0</v>
      </c>
      <c r="C31" s="17">
        <f t="shared" si="3"/>
        <v>0</v>
      </c>
      <c r="D31" s="17">
        <f t="shared" si="3"/>
        <v>0</v>
      </c>
      <c r="E31" s="17">
        <f t="shared" si="3"/>
        <v>0</v>
      </c>
      <c r="F31" s="17">
        <f t="shared" si="3"/>
        <v>0</v>
      </c>
      <c r="G31" s="17">
        <f t="shared" si="3"/>
        <v>0</v>
      </c>
      <c r="H31" s="17">
        <f t="shared" si="3"/>
        <v>0</v>
      </c>
      <c r="I31" s="17">
        <f t="shared" si="3"/>
        <v>0</v>
      </c>
      <c r="J31" s="17">
        <f t="shared" si="3"/>
        <v>0</v>
      </c>
      <c r="K31" s="17">
        <f t="shared" si="2"/>
        <v>0</v>
      </c>
      <c r="N31" s="73"/>
      <c r="O31" s="90" t="s">
        <v>47</v>
      </c>
      <c r="P31" s="86">
        <v>0</v>
      </c>
      <c r="Q31" s="86">
        <v>0</v>
      </c>
      <c r="R31" s="86">
        <v>0</v>
      </c>
      <c r="S31" s="86">
        <v>0</v>
      </c>
      <c r="T31" s="86">
        <v>33</v>
      </c>
      <c r="U31" s="86">
        <v>53</v>
      </c>
      <c r="V31" s="86">
        <v>68</v>
      </c>
      <c r="W31" s="86">
        <v>22</v>
      </c>
      <c r="X31" s="86">
        <v>0</v>
      </c>
      <c r="Y31" s="86">
        <v>176</v>
      </c>
      <c r="Z31" s="86"/>
      <c r="AA31" s="2"/>
      <c r="AB31" s="90" t="s">
        <v>15</v>
      </c>
      <c r="AC31" s="86">
        <v>0</v>
      </c>
      <c r="AD31" s="86">
        <v>0</v>
      </c>
      <c r="AE31" s="86">
        <v>0</v>
      </c>
      <c r="AF31" s="86">
        <v>0</v>
      </c>
      <c r="AG31" s="86">
        <v>0</v>
      </c>
      <c r="AH31" s="86">
        <v>0</v>
      </c>
      <c r="AI31" s="86">
        <v>0</v>
      </c>
      <c r="AJ31" s="86">
        <v>0</v>
      </c>
      <c r="AK31" s="86">
        <v>2</v>
      </c>
      <c r="AL31" s="86">
        <v>2</v>
      </c>
      <c r="AM31" s="2"/>
      <c r="AN31" s="21"/>
      <c r="AO31" s="90" t="s">
        <v>15</v>
      </c>
      <c r="AP31" s="86">
        <v>0</v>
      </c>
      <c r="AQ31" s="86">
        <v>2</v>
      </c>
      <c r="AR31" s="86">
        <v>0</v>
      </c>
      <c r="AS31" s="86">
        <v>2</v>
      </c>
      <c r="AT31" s="17"/>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row>
    <row r="32" spans="1:83" x14ac:dyDescent="0.45">
      <c r="A32" s="83" t="s">
        <v>45</v>
      </c>
      <c r="B32" s="17">
        <f t="shared" ref="B32:J33" si="4">SUM(B76+B119+B162+B205+B248+B291)</f>
        <v>0</v>
      </c>
      <c r="C32" s="17">
        <f t="shared" si="4"/>
        <v>0</v>
      </c>
      <c r="D32" s="17">
        <f t="shared" si="4"/>
        <v>0</v>
      </c>
      <c r="E32" s="17">
        <f t="shared" si="4"/>
        <v>0</v>
      </c>
      <c r="F32" s="17">
        <f t="shared" si="4"/>
        <v>0</v>
      </c>
      <c r="G32" s="17">
        <f t="shared" si="4"/>
        <v>0</v>
      </c>
      <c r="H32" s="17">
        <f t="shared" si="4"/>
        <v>0</v>
      </c>
      <c r="I32" s="17">
        <f t="shared" si="4"/>
        <v>2</v>
      </c>
      <c r="J32" s="17">
        <f t="shared" si="4"/>
        <v>0</v>
      </c>
      <c r="K32" s="17">
        <f t="shared" si="2"/>
        <v>2</v>
      </c>
      <c r="N32" s="73">
        <v>22</v>
      </c>
      <c r="O32" s="90" t="s">
        <v>16</v>
      </c>
      <c r="P32" s="86">
        <v>0</v>
      </c>
      <c r="Q32" s="86">
        <v>0</v>
      </c>
      <c r="R32" s="86">
        <v>1</v>
      </c>
      <c r="S32" s="86">
        <v>0</v>
      </c>
      <c r="T32" s="86">
        <v>0</v>
      </c>
      <c r="U32" s="86">
        <v>0</v>
      </c>
      <c r="V32" s="86">
        <v>1</v>
      </c>
      <c r="W32" s="86">
        <v>1</v>
      </c>
      <c r="X32" s="86">
        <v>0</v>
      </c>
      <c r="Y32" s="86">
        <v>3</v>
      </c>
      <c r="Z32" s="86"/>
      <c r="AA32" s="2"/>
      <c r="AB32" s="90" t="s">
        <v>51</v>
      </c>
      <c r="AC32" s="86">
        <v>0</v>
      </c>
      <c r="AD32" s="86">
        <v>0</v>
      </c>
      <c r="AE32" s="86">
        <v>0</v>
      </c>
      <c r="AF32" s="86">
        <v>0</v>
      </c>
      <c r="AG32" s="86">
        <v>0</v>
      </c>
      <c r="AH32" s="86">
        <v>0</v>
      </c>
      <c r="AI32" s="86">
        <v>0</v>
      </c>
      <c r="AJ32" s="86">
        <v>1</v>
      </c>
      <c r="AK32" s="86">
        <v>0</v>
      </c>
      <c r="AL32" s="86">
        <v>1</v>
      </c>
      <c r="AM32" s="2"/>
      <c r="AN32" s="2"/>
      <c r="AO32" s="90" t="s">
        <v>51</v>
      </c>
      <c r="AP32" s="86">
        <v>1</v>
      </c>
      <c r="AQ32" s="86">
        <v>0</v>
      </c>
      <c r="AR32" s="86">
        <v>0</v>
      </c>
      <c r="AS32" s="86">
        <v>1</v>
      </c>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row>
    <row r="33" spans="1:83" x14ac:dyDescent="0.45">
      <c r="A33" s="83" t="s">
        <v>41</v>
      </c>
      <c r="B33" s="17">
        <f t="shared" si="4"/>
        <v>0</v>
      </c>
      <c r="C33" s="17">
        <f t="shared" si="4"/>
        <v>0</v>
      </c>
      <c r="D33" s="17">
        <f t="shared" si="4"/>
        <v>5</v>
      </c>
      <c r="E33" s="17">
        <f t="shared" si="4"/>
        <v>0</v>
      </c>
      <c r="F33" s="17">
        <f t="shared" si="4"/>
        <v>6</v>
      </c>
      <c r="G33" s="17">
        <f t="shared" si="4"/>
        <v>0</v>
      </c>
      <c r="H33" s="17">
        <f t="shared" si="4"/>
        <v>2</v>
      </c>
      <c r="I33" s="17">
        <f t="shared" si="4"/>
        <v>0</v>
      </c>
      <c r="J33" s="17">
        <f t="shared" si="4"/>
        <v>0</v>
      </c>
      <c r="K33" s="17">
        <f t="shared" si="2"/>
        <v>13</v>
      </c>
      <c r="M33" s="73"/>
      <c r="N33" s="73">
        <v>23</v>
      </c>
      <c r="O33" s="90" t="s">
        <v>17</v>
      </c>
      <c r="P33" s="86">
        <v>0</v>
      </c>
      <c r="Q33" s="86">
        <v>0</v>
      </c>
      <c r="R33" s="86">
        <v>0</v>
      </c>
      <c r="S33" s="86">
        <v>0</v>
      </c>
      <c r="T33" s="86">
        <v>0</v>
      </c>
      <c r="U33" s="86">
        <v>1000</v>
      </c>
      <c r="V33" s="86">
        <v>0</v>
      </c>
      <c r="W33" s="86">
        <v>512</v>
      </c>
      <c r="X33" s="86">
        <v>1001</v>
      </c>
      <c r="Y33" s="86">
        <v>2513</v>
      </c>
      <c r="AA33" s="2"/>
      <c r="AB33" s="90" t="s">
        <v>46</v>
      </c>
      <c r="AC33" s="86">
        <v>0</v>
      </c>
      <c r="AD33" s="86">
        <v>0</v>
      </c>
      <c r="AE33" s="86">
        <v>0</v>
      </c>
      <c r="AF33" s="86">
        <v>0</v>
      </c>
      <c r="AG33" s="86">
        <v>0</v>
      </c>
      <c r="AH33" s="86">
        <v>0</v>
      </c>
      <c r="AI33" s="86">
        <v>0</v>
      </c>
      <c r="AJ33" s="86">
        <v>1</v>
      </c>
      <c r="AK33" s="86">
        <v>0</v>
      </c>
      <c r="AL33" s="86">
        <v>1</v>
      </c>
      <c r="AM33" s="17"/>
      <c r="AN33" s="2"/>
      <c r="AO33" s="90" t="s">
        <v>46</v>
      </c>
      <c r="AP33" s="86">
        <v>1</v>
      </c>
      <c r="AQ33" s="86">
        <v>0</v>
      </c>
      <c r="AR33" s="86">
        <v>0</v>
      </c>
      <c r="AS33" s="86">
        <v>1</v>
      </c>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row>
    <row r="34" spans="1:83" x14ac:dyDescent="0.45">
      <c r="A34" s="3" t="s">
        <v>2</v>
      </c>
      <c r="B34" s="17">
        <f>SUM(B78+B121+B164+B207+B250+B293)</f>
        <v>1</v>
      </c>
      <c r="C34" s="17">
        <f t="shared" ref="C34:D34" si="5">SUM(C78+C121+C164+C207+C250+C293)</f>
        <v>25</v>
      </c>
      <c r="D34" s="17">
        <f t="shared" si="5"/>
        <v>29</v>
      </c>
      <c r="E34" s="17">
        <f t="shared" ref="E34:J43" si="6">SUM(E78+E121+E164+E207+E250+E293)</f>
        <v>9</v>
      </c>
      <c r="F34" s="17">
        <f t="shared" si="6"/>
        <v>17</v>
      </c>
      <c r="G34" s="17">
        <f t="shared" si="6"/>
        <v>22</v>
      </c>
      <c r="H34" s="17">
        <f t="shared" si="6"/>
        <v>3</v>
      </c>
      <c r="I34" s="17">
        <f t="shared" si="6"/>
        <v>0</v>
      </c>
      <c r="J34" s="17">
        <f t="shared" si="6"/>
        <v>0</v>
      </c>
      <c r="K34" s="17">
        <f t="shared" si="2"/>
        <v>106</v>
      </c>
      <c r="L34" s="17"/>
      <c r="N34" s="73"/>
      <c r="O34" s="162" t="s">
        <v>24</v>
      </c>
      <c r="P34" s="159">
        <v>2</v>
      </c>
      <c r="Q34" s="160">
        <v>40</v>
      </c>
      <c r="R34" s="160">
        <v>89</v>
      </c>
      <c r="S34" s="160">
        <v>65</v>
      </c>
      <c r="T34" s="160">
        <v>769</v>
      </c>
      <c r="U34" s="160">
        <v>3809</v>
      </c>
      <c r="V34" s="160">
        <v>1521</v>
      </c>
      <c r="W34" s="160">
        <v>1251</v>
      </c>
      <c r="X34" s="160">
        <v>1077</v>
      </c>
      <c r="Y34" s="160">
        <v>8623</v>
      </c>
      <c r="AA34" s="2"/>
      <c r="AB34" s="162" t="s">
        <v>24</v>
      </c>
      <c r="AC34" s="159">
        <v>2</v>
      </c>
      <c r="AD34" s="160">
        <v>40</v>
      </c>
      <c r="AE34" s="160">
        <v>89</v>
      </c>
      <c r="AF34" s="160">
        <v>65</v>
      </c>
      <c r="AG34" s="160">
        <v>769</v>
      </c>
      <c r="AH34" s="160">
        <v>3809</v>
      </c>
      <c r="AI34" s="160">
        <v>1521</v>
      </c>
      <c r="AJ34" s="160">
        <v>1251</v>
      </c>
      <c r="AK34" s="160">
        <v>1077</v>
      </c>
      <c r="AL34" s="160">
        <v>8623</v>
      </c>
      <c r="AM34" s="2"/>
      <c r="AN34" s="2"/>
      <c r="AO34" s="162" t="s">
        <v>24</v>
      </c>
      <c r="AP34" s="222">
        <f>SUM(AP8:AP33)</f>
        <v>4955</v>
      </c>
      <c r="AQ34" s="160">
        <f>SUM(AQ8:AQ33)</f>
        <v>420</v>
      </c>
      <c r="AR34" s="164">
        <f>SUM(AR8:AR33)</f>
        <v>3248</v>
      </c>
      <c r="AS34" s="160">
        <v>8623</v>
      </c>
      <c r="AT34" s="17"/>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row>
    <row r="35" spans="1:83" x14ac:dyDescent="0.45">
      <c r="A35" s="83" t="s">
        <v>43</v>
      </c>
      <c r="B35" s="17">
        <f>SUM(B79+B122+B165+B208+B251+B294)</f>
        <v>0</v>
      </c>
      <c r="C35" s="17">
        <f t="shared" ref="C35:D35" si="7">SUM(C79+C122+C165+C208+C251+C294)</f>
        <v>0</v>
      </c>
      <c r="D35" s="17">
        <f t="shared" si="7"/>
        <v>2</v>
      </c>
      <c r="E35" s="17">
        <f t="shared" si="6"/>
        <v>3</v>
      </c>
      <c r="F35" s="17">
        <f t="shared" si="6"/>
        <v>0</v>
      </c>
      <c r="G35" s="17">
        <f t="shared" si="6"/>
        <v>4</v>
      </c>
      <c r="H35" s="17">
        <f t="shared" si="6"/>
        <v>4</v>
      </c>
      <c r="I35" s="17">
        <f t="shared" si="6"/>
        <v>5</v>
      </c>
      <c r="J35" s="17">
        <f t="shared" si="6"/>
        <v>4</v>
      </c>
      <c r="K35" s="17">
        <f t="shared" si="2"/>
        <v>22</v>
      </c>
      <c r="N35" s="73"/>
      <c r="Z35" s="86"/>
      <c r="AA35" s="2"/>
      <c r="AM35" s="2"/>
      <c r="AN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row>
    <row r="36" spans="1:83" s="2" customFormat="1" x14ac:dyDescent="0.45">
      <c r="A36" s="3" t="s">
        <v>3</v>
      </c>
      <c r="B36" s="17">
        <f t="shared" ref="B36" si="8">SUM(B80+B123+B166+B209+B252+B295)</f>
        <v>0</v>
      </c>
      <c r="C36" s="17">
        <f t="shared" ref="C36:D36" si="9">SUM(C80+C123+C166+C209+C252+C295)</f>
        <v>15</v>
      </c>
      <c r="D36" s="17">
        <f t="shared" si="9"/>
        <v>49</v>
      </c>
      <c r="E36" s="17">
        <f t="shared" si="6"/>
        <v>12</v>
      </c>
      <c r="F36" s="17">
        <f t="shared" si="6"/>
        <v>2</v>
      </c>
      <c r="G36" s="17">
        <f t="shared" si="6"/>
        <v>7</v>
      </c>
      <c r="H36" s="17">
        <f t="shared" si="6"/>
        <v>0</v>
      </c>
      <c r="I36" s="17">
        <f t="shared" si="6"/>
        <v>1</v>
      </c>
      <c r="J36" s="17">
        <f t="shared" si="6"/>
        <v>2</v>
      </c>
      <c r="K36" s="17">
        <f t="shared" si="2"/>
        <v>88</v>
      </c>
      <c r="L36"/>
      <c r="M36"/>
      <c r="N36" s="73"/>
      <c r="Z36" s="86"/>
      <c r="AO36"/>
      <c r="AP36"/>
      <c r="AQ36"/>
      <c r="AR36"/>
      <c r="AS36"/>
      <c r="AT36"/>
      <c r="CD36"/>
      <c r="CE36"/>
    </row>
    <row r="37" spans="1:83" x14ac:dyDescent="0.45">
      <c r="A37" s="3" t="s">
        <v>4</v>
      </c>
      <c r="B37" s="17">
        <f t="shared" ref="B37:D64" si="10">SUM(B81+B124+B167+B210+B253+B296)</f>
        <v>0</v>
      </c>
      <c r="C37" s="17">
        <f t="shared" si="10"/>
        <v>0</v>
      </c>
      <c r="D37" s="17">
        <f t="shared" si="10"/>
        <v>0</v>
      </c>
      <c r="E37" s="17">
        <f t="shared" si="6"/>
        <v>0</v>
      </c>
      <c r="F37" s="17">
        <f t="shared" si="6"/>
        <v>0</v>
      </c>
      <c r="G37" s="17">
        <f t="shared" si="6"/>
        <v>0</v>
      </c>
      <c r="H37" s="17">
        <f t="shared" si="6"/>
        <v>0</v>
      </c>
      <c r="I37" s="17">
        <f t="shared" si="6"/>
        <v>0</v>
      </c>
      <c r="J37" s="17">
        <f t="shared" si="6"/>
        <v>0</v>
      </c>
      <c r="K37" s="17">
        <f t="shared" si="2"/>
        <v>0</v>
      </c>
      <c r="N37" s="73"/>
      <c r="O37" s="1" t="s">
        <v>222</v>
      </c>
      <c r="Z37" s="86"/>
      <c r="AA37" s="2"/>
      <c r="AB37" s="1" t="s">
        <v>222</v>
      </c>
      <c r="AC37" s="2"/>
      <c r="AD37" s="2"/>
      <c r="AE37" s="2"/>
      <c r="AF37" s="2"/>
      <c r="AG37" s="2"/>
      <c r="AH37" s="2"/>
      <c r="AI37" s="2"/>
      <c r="AJ37" s="2"/>
      <c r="AK37" s="2"/>
      <c r="AL37" s="2"/>
      <c r="AM37" s="2"/>
      <c r="AN37" s="2"/>
      <c r="BH37" s="2"/>
      <c r="BI37" s="2"/>
      <c r="BJ37" s="2"/>
      <c r="BK37" s="2"/>
      <c r="BL37" s="2"/>
      <c r="BM37" s="2"/>
      <c r="BN37" s="2"/>
      <c r="BO37" s="2"/>
      <c r="BP37" s="2"/>
      <c r="BQ37" s="2"/>
      <c r="BR37" s="2"/>
      <c r="BS37" s="2"/>
      <c r="BT37" s="2"/>
      <c r="BU37" s="2"/>
      <c r="BV37" s="2"/>
      <c r="BW37" s="2"/>
      <c r="BX37" s="2"/>
      <c r="BY37" s="2"/>
      <c r="BZ37" s="2"/>
      <c r="CA37" s="2"/>
      <c r="CB37" s="2"/>
      <c r="CC37" s="2"/>
      <c r="CD37" s="2"/>
      <c r="CE37" s="2"/>
    </row>
    <row r="38" spans="1:83" x14ac:dyDescent="0.45">
      <c r="A38" s="83" t="s">
        <v>48</v>
      </c>
      <c r="B38" s="17">
        <f t="shared" si="10"/>
        <v>0</v>
      </c>
      <c r="C38" s="17">
        <f t="shared" si="10"/>
        <v>0</v>
      </c>
      <c r="D38" s="17">
        <f t="shared" si="10"/>
        <v>0</v>
      </c>
      <c r="E38" s="17">
        <f t="shared" si="6"/>
        <v>0</v>
      </c>
      <c r="F38" s="17">
        <f t="shared" si="6"/>
        <v>2</v>
      </c>
      <c r="G38" s="17">
        <f t="shared" si="6"/>
        <v>0</v>
      </c>
      <c r="H38" s="17">
        <f t="shared" si="6"/>
        <v>0</v>
      </c>
      <c r="I38" s="17">
        <f t="shared" si="6"/>
        <v>0</v>
      </c>
      <c r="J38" s="17">
        <f t="shared" si="6"/>
        <v>0</v>
      </c>
      <c r="K38" s="17">
        <f t="shared" si="2"/>
        <v>2</v>
      </c>
      <c r="O38" s="1" t="s">
        <v>115</v>
      </c>
      <c r="Z38" s="86"/>
      <c r="AA38" s="2"/>
      <c r="AB38" s="1" t="s">
        <v>115</v>
      </c>
      <c r="AC38" s="2"/>
      <c r="AD38" s="2"/>
      <c r="AE38" s="2"/>
      <c r="AF38" s="2"/>
      <c r="AG38" s="2"/>
      <c r="AH38" s="2"/>
      <c r="AI38" s="2"/>
      <c r="AJ38" s="2"/>
      <c r="AK38" s="2"/>
      <c r="AL38" s="2"/>
      <c r="AN38" s="2"/>
      <c r="BH38" s="2"/>
      <c r="BI38" s="2"/>
      <c r="BJ38" s="2"/>
      <c r="BK38" s="2"/>
      <c r="BL38" s="2"/>
      <c r="BM38" s="2"/>
      <c r="BN38" s="2"/>
      <c r="BO38" s="2"/>
      <c r="BP38" s="2"/>
      <c r="BQ38" s="2"/>
      <c r="BR38" s="2"/>
      <c r="BS38" s="2"/>
      <c r="BT38" s="2"/>
      <c r="BU38" s="2"/>
      <c r="BV38" s="2"/>
      <c r="BW38" s="2"/>
      <c r="BX38" s="2"/>
      <c r="BY38" s="2"/>
      <c r="BZ38" s="2"/>
      <c r="CA38" s="2"/>
      <c r="CB38" s="2"/>
      <c r="CC38" s="2"/>
    </row>
    <row r="39" spans="1:83" x14ac:dyDescent="0.45">
      <c r="A39" s="3" t="s">
        <v>6</v>
      </c>
      <c r="B39" s="17">
        <f t="shared" si="10"/>
        <v>0</v>
      </c>
      <c r="C39" s="17">
        <f t="shared" si="10"/>
        <v>0</v>
      </c>
      <c r="D39" s="17">
        <f t="shared" si="10"/>
        <v>0</v>
      </c>
      <c r="E39" s="17">
        <f t="shared" si="6"/>
        <v>0</v>
      </c>
      <c r="F39" s="17">
        <f t="shared" si="6"/>
        <v>0</v>
      </c>
      <c r="G39" s="17">
        <f t="shared" si="6"/>
        <v>0</v>
      </c>
      <c r="H39" s="17">
        <f t="shared" si="6"/>
        <v>0</v>
      </c>
      <c r="I39" s="17">
        <f t="shared" si="6"/>
        <v>0</v>
      </c>
      <c r="J39" s="17">
        <f t="shared" si="6"/>
        <v>0</v>
      </c>
      <c r="K39" s="17">
        <f t="shared" si="2"/>
        <v>0</v>
      </c>
      <c r="P39" s="1" t="s">
        <v>20</v>
      </c>
      <c r="Q39" s="180"/>
      <c r="R39" s="180"/>
      <c r="S39" s="180"/>
      <c r="T39" s="1" t="s">
        <v>21</v>
      </c>
      <c r="U39" s="180"/>
      <c r="V39" s="180"/>
      <c r="W39" s="180"/>
      <c r="X39" s="180"/>
      <c r="Z39" s="86"/>
      <c r="AA39" s="2"/>
      <c r="AB39" s="1" t="s">
        <v>64</v>
      </c>
      <c r="AC39" s="2"/>
      <c r="AD39" s="2"/>
      <c r="AE39" s="2"/>
      <c r="AF39" s="2"/>
      <c r="AG39" s="2"/>
      <c r="AH39" s="2"/>
      <c r="AI39" s="2"/>
      <c r="AJ39" s="2"/>
      <c r="AK39" s="2"/>
      <c r="AL39" s="2"/>
      <c r="AN39" s="2"/>
      <c r="BH39" s="2"/>
      <c r="BI39" s="2"/>
      <c r="BJ39" s="2"/>
      <c r="BK39" s="2"/>
      <c r="BL39" s="2"/>
      <c r="BM39" s="2"/>
      <c r="BN39" s="2"/>
      <c r="BO39" s="2"/>
      <c r="BP39" s="2"/>
      <c r="BQ39" s="2"/>
      <c r="BR39" s="2"/>
      <c r="BS39" s="2"/>
      <c r="BT39" s="2"/>
      <c r="BU39" s="2"/>
      <c r="BV39" s="2"/>
      <c r="BW39" s="2"/>
      <c r="BX39" s="2"/>
      <c r="BY39" s="2"/>
      <c r="BZ39" s="2"/>
      <c r="CA39" s="2"/>
      <c r="CB39" s="2"/>
      <c r="CC39" s="2"/>
      <c r="CD39" s="2"/>
      <c r="CE39" s="2"/>
    </row>
    <row r="40" spans="1:83" x14ac:dyDescent="0.45">
      <c r="A40" s="3" t="s">
        <v>7</v>
      </c>
      <c r="B40" s="17">
        <f t="shared" si="10"/>
        <v>0</v>
      </c>
      <c r="C40" s="17">
        <f t="shared" si="10"/>
        <v>0</v>
      </c>
      <c r="D40" s="17">
        <f t="shared" si="10"/>
        <v>0</v>
      </c>
      <c r="E40" s="17">
        <f t="shared" si="6"/>
        <v>5</v>
      </c>
      <c r="F40" s="17">
        <f t="shared" si="6"/>
        <v>19</v>
      </c>
      <c r="G40" s="17">
        <f t="shared" si="6"/>
        <v>0</v>
      </c>
      <c r="H40" s="17">
        <f t="shared" si="6"/>
        <v>3</v>
      </c>
      <c r="I40" s="17">
        <f t="shared" si="6"/>
        <v>0</v>
      </c>
      <c r="J40" s="17">
        <f t="shared" si="6"/>
        <v>0</v>
      </c>
      <c r="K40" s="17">
        <f t="shared" si="2"/>
        <v>27</v>
      </c>
      <c r="N40" s="27" t="s">
        <v>141</v>
      </c>
      <c r="O40" s="108" t="s">
        <v>19</v>
      </c>
      <c r="P40" s="88">
        <v>13</v>
      </c>
      <c r="Q40" s="91">
        <v>18</v>
      </c>
      <c r="R40" s="91">
        <v>23</v>
      </c>
      <c r="S40" s="91">
        <v>28</v>
      </c>
      <c r="T40" s="91">
        <v>3</v>
      </c>
      <c r="U40" s="91">
        <v>8</v>
      </c>
      <c r="V40" s="91">
        <v>13</v>
      </c>
      <c r="W40" s="91">
        <v>18</v>
      </c>
      <c r="X40" s="91">
        <v>23</v>
      </c>
      <c r="Y40" s="8" t="s">
        <v>24</v>
      </c>
      <c r="Z40" s="86"/>
      <c r="AA40" s="2"/>
      <c r="AB40" s="2"/>
      <c r="AC40" s="1" t="s">
        <v>20</v>
      </c>
      <c r="AD40" s="180"/>
      <c r="AE40" s="180"/>
      <c r="AF40" s="180"/>
      <c r="AG40" s="1" t="s">
        <v>21</v>
      </c>
      <c r="AH40" s="180"/>
      <c r="AI40" s="180"/>
      <c r="AJ40" s="180"/>
      <c r="AK40" s="180"/>
      <c r="AL40" s="180"/>
      <c r="AN40" s="2"/>
      <c r="BH40" s="2"/>
      <c r="BI40" s="2"/>
      <c r="BJ40" s="2"/>
      <c r="BK40" s="2"/>
      <c r="BL40" s="2"/>
      <c r="BM40" s="2"/>
      <c r="BN40" s="2"/>
      <c r="BO40" s="2"/>
      <c r="BP40" s="2"/>
      <c r="BQ40" s="2"/>
      <c r="BR40" s="2"/>
      <c r="BS40" s="2"/>
      <c r="BT40" s="2"/>
      <c r="BU40" s="2"/>
      <c r="BV40" s="2"/>
      <c r="BW40" s="2"/>
      <c r="BX40" s="2"/>
      <c r="BY40" s="2"/>
      <c r="BZ40" s="2"/>
      <c r="CA40" s="2"/>
      <c r="CB40" s="2"/>
      <c r="CC40" s="2"/>
    </row>
    <row r="41" spans="1:83" x14ac:dyDescent="0.45">
      <c r="A41" s="101" t="s">
        <v>83</v>
      </c>
      <c r="B41" s="17">
        <f t="shared" si="10"/>
        <v>0</v>
      </c>
      <c r="C41" s="17">
        <f t="shared" si="10"/>
        <v>0</v>
      </c>
      <c r="D41" s="17">
        <f t="shared" si="10"/>
        <v>0</v>
      </c>
      <c r="E41" s="17">
        <f t="shared" si="6"/>
        <v>0</v>
      </c>
      <c r="F41" s="17">
        <f t="shared" si="6"/>
        <v>0</v>
      </c>
      <c r="G41" s="17">
        <f t="shared" si="6"/>
        <v>0</v>
      </c>
      <c r="H41" s="17">
        <f t="shared" si="6"/>
        <v>0</v>
      </c>
      <c r="I41" s="17">
        <f t="shared" si="6"/>
        <v>0</v>
      </c>
      <c r="J41" s="17">
        <f t="shared" si="6"/>
        <v>0</v>
      </c>
      <c r="K41" s="17">
        <f t="shared" si="2"/>
        <v>0</v>
      </c>
      <c r="N41" s="73">
        <v>1</v>
      </c>
      <c r="O41" s="162" t="s">
        <v>1</v>
      </c>
      <c r="P41" s="86">
        <v>0</v>
      </c>
      <c r="Q41" s="86">
        <v>0</v>
      </c>
      <c r="R41" s="86">
        <v>0</v>
      </c>
      <c r="S41" s="86">
        <v>0</v>
      </c>
      <c r="T41" s="86">
        <v>3</v>
      </c>
      <c r="U41" s="86">
        <v>26</v>
      </c>
      <c r="V41" s="86">
        <v>45</v>
      </c>
      <c r="W41" s="86">
        <v>73</v>
      </c>
      <c r="X41" s="86">
        <v>39</v>
      </c>
      <c r="Y41" s="86">
        <v>186</v>
      </c>
      <c r="Z41" s="86"/>
      <c r="AA41" s="2"/>
      <c r="AB41" s="108" t="s">
        <v>19</v>
      </c>
      <c r="AC41" s="88">
        <v>13</v>
      </c>
      <c r="AD41" s="91">
        <v>18</v>
      </c>
      <c r="AE41" s="91">
        <v>23</v>
      </c>
      <c r="AF41" s="91">
        <v>28</v>
      </c>
      <c r="AG41" s="91">
        <v>3</v>
      </c>
      <c r="AH41" s="91">
        <v>8</v>
      </c>
      <c r="AI41" s="91">
        <v>13</v>
      </c>
      <c r="AJ41" s="91">
        <v>18</v>
      </c>
      <c r="AK41" s="91">
        <v>23</v>
      </c>
      <c r="AL41" s="8" t="s">
        <v>24</v>
      </c>
      <c r="AM41" s="2"/>
      <c r="AN41" s="2"/>
      <c r="BH41" s="2"/>
      <c r="BI41" s="2"/>
      <c r="BJ41" s="2"/>
      <c r="BK41" s="2"/>
      <c r="BL41" s="2"/>
      <c r="BM41" s="2"/>
      <c r="BN41" s="2"/>
      <c r="BO41" s="2"/>
      <c r="BP41" s="2"/>
      <c r="BQ41" s="2"/>
      <c r="BR41" s="2"/>
      <c r="BS41" s="2"/>
      <c r="BT41" s="2"/>
      <c r="BU41" s="2"/>
      <c r="BV41" s="2"/>
      <c r="BW41" s="2"/>
      <c r="BX41" s="2"/>
      <c r="BY41" s="2"/>
      <c r="BZ41" s="2"/>
      <c r="CA41" s="2"/>
      <c r="CB41" s="2"/>
      <c r="CC41" s="2"/>
    </row>
    <row r="42" spans="1:83" x14ac:dyDescent="0.45">
      <c r="A42" s="83" t="s">
        <v>50</v>
      </c>
      <c r="B42" s="17">
        <f t="shared" si="10"/>
        <v>0</v>
      </c>
      <c r="C42" s="17">
        <f t="shared" si="10"/>
        <v>0</v>
      </c>
      <c r="D42" s="17">
        <f t="shared" si="10"/>
        <v>0</v>
      </c>
      <c r="E42" s="17">
        <f t="shared" si="6"/>
        <v>0</v>
      </c>
      <c r="F42" s="17">
        <f t="shared" si="6"/>
        <v>0</v>
      </c>
      <c r="G42" s="17">
        <f t="shared" si="6"/>
        <v>0</v>
      </c>
      <c r="H42" s="17">
        <f t="shared" si="6"/>
        <v>0</v>
      </c>
      <c r="I42" s="17">
        <f t="shared" si="6"/>
        <v>0</v>
      </c>
      <c r="J42" s="17">
        <f t="shared" si="6"/>
        <v>0</v>
      </c>
      <c r="K42" s="17">
        <f t="shared" si="2"/>
        <v>0</v>
      </c>
      <c r="N42" s="73">
        <v>2</v>
      </c>
      <c r="O42" s="90" t="s">
        <v>41</v>
      </c>
      <c r="P42" s="86">
        <v>0</v>
      </c>
      <c r="Q42" s="86">
        <v>0</v>
      </c>
      <c r="R42" s="86">
        <v>5</v>
      </c>
      <c r="S42" s="86">
        <v>0</v>
      </c>
      <c r="T42" s="86">
        <v>6</v>
      </c>
      <c r="U42" s="86">
        <v>0</v>
      </c>
      <c r="V42" s="86">
        <v>2</v>
      </c>
      <c r="W42" s="86">
        <v>0</v>
      </c>
      <c r="X42" s="86">
        <v>0</v>
      </c>
      <c r="Y42" s="86">
        <v>13</v>
      </c>
      <c r="Z42" s="86"/>
      <c r="AA42" s="2"/>
      <c r="AB42" s="162" t="s">
        <v>11</v>
      </c>
      <c r="AC42" s="86">
        <v>0</v>
      </c>
      <c r="AD42" s="86">
        <v>0</v>
      </c>
      <c r="AE42" s="86">
        <v>0</v>
      </c>
      <c r="AF42" s="86">
        <v>0</v>
      </c>
      <c r="AG42" s="86">
        <v>343</v>
      </c>
      <c r="AH42" s="86">
        <v>1622</v>
      </c>
      <c r="AI42" s="86">
        <v>431</v>
      </c>
      <c r="AJ42" s="86">
        <v>320</v>
      </c>
      <c r="AK42" s="86">
        <v>21</v>
      </c>
      <c r="AL42" s="86">
        <v>2737</v>
      </c>
      <c r="AM42" s="2"/>
      <c r="AN42" s="2"/>
      <c r="AO42" s="2"/>
      <c r="BH42" s="2"/>
      <c r="BI42" s="2"/>
      <c r="BJ42" s="2"/>
      <c r="BK42" s="2"/>
      <c r="BL42" s="2"/>
      <c r="BM42" s="2"/>
      <c r="BN42" s="2"/>
      <c r="BO42" s="2"/>
      <c r="BP42" s="2"/>
      <c r="BQ42" s="2"/>
      <c r="BR42" s="2"/>
      <c r="BS42" s="2"/>
      <c r="BT42" s="2"/>
      <c r="BU42" s="2"/>
      <c r="BV42" s="2"/>
      <c r="BW42" s="2"/>
      <c r="BX42" s="2"/>
      <c r="BY42" s="2"/>
      <c r="BZ42" s="2"/>
      <c r="CA42" s="2"/>
      <c r="CB42" s="2"/>
      <c r="CC42" s="2"/>
    </row>
    <row r="43" spans="1:83" x14ac:dyDescent="0.45">
      <c r="A43" s="83" t="s">
        <v>51</v>
      </c>
      <c r="B43" s="17">
        <f t="shared" si="10"/>
        <v>0</v>
      </c>
      <c r="C43" s="17">
        <f t="shared" si="10"/>
        <v>0</v>
      </c>
      <c r="D43" s="17">
        <f t="shared" si="10"/>
        <v>0</v>
      </c>
      <c r="E43" s="17">
        <f t="shared" si="6"/>
        <v>0</v>
      </c>
      <c r="F43" s="17">
        <f t="shared" si="6"/>
        <v>0</v>
      </c>
      <c r="G43" s="17">
        <f t="shared" si="6"/>
        <v>0</v>
      </c>
      <c r="H43" s="17">
        <f t="shared" si="6"/>
        <v>0</v>
      </c>
      <c r="I43" s="17">
        <f t="shared" si="6"/>
        <v>1</v>
      </c>
      <c r="J43" s="17">
        <f t="shared" si="6"/>
        <v>0</v>
      </c>
      <c r="K43" s="17">
        <f t="shared" si="2"/>
        <v>1</v>
      </c>
      <c r="N43" s="73">
        <v>3</v>
      </c>
      <c r="O43" s="90" t="s">
        <v>2</v>
      </c>
      <c r="P43" s="86">
        <v>1</v>
      </c>
      <c r="Q43" s="86">
        <v>25</v>
      </c>
      <c r="R43" s="86">
        <v>29</v>
      </c>
      <c r="S43" s="86">
        <v>9</v>
      </c>
      <c r="T43" s="86">
        <v>17</v>
      </c>
      <c r="U43" s="86">
        <v>22</v>
      </c>
      <c r="V43" s="86">
        <v>3</v>
      </c>
      <c r="W43" s="86">
        <v>0</v>
      </c>
      <c r="X43" s="86">
        <v>0</v>
      </c>
      <c r="Y43" s="86">
        <v>106</v>
      </c>
      <c r="Z43" s="86"/>
      <c r="AA43" s="2"/>
      <c r="AB43" s="90" t="s">
        <v>18</v>
      </c>
      <c r="AC43" s="86">
        <v>0</v>
      </c>
      <c r="AD43" s="86">
        <v>0</v>
      </c>
      <c r="AE43" s="86">
        <v>0</v>
      </c>
      <c r="AF43" s="86">
        <v>0</v>
      </c>
      <c r="AG43" s="86">
        <v>70</v>
      </c>
      <c r="AH43" s="86">
        <v>360</v>
      </c>
      <c r="AI43" s="86">
        <v>334</v>
      </c>
      <c r="AJ43" s="86">
        <v>70</v>
      </c>
      <c r="AK43" s="86">
        <v>2</v>
      </c>
      <c r="AL43" s="86">
        <v>836</v>
      </c>
      <c r="AM43" s="2"/>
      <c r="AN43" s="2"/>
      <c r="AO43" s="2"/>
      <c r="BH43" s="2"/>
      <c r="BI43" s="2"/>
      <c r="BJ43" s="2"/>
      <c r="BK43" s="2"/>
      <c r="BL43" s="2"/>
      <c r="BM43" s="2"/>
      <c r="BN43" s="2"/>
      <c r="BO43" s="2"/>
      <c r="BP43" s="2"/>
      <c r="BQ43" s="2"/>
      <c r="BR43" s="2"/>
      <c r="BS43" s="2"/>
      <c r="BT43" s="2"/>
      <c r="BU43" s="2"/>
      <c r="BV43" s="2"/>
      <c r="BW43" s="2"/>
      <c r="BX43" s="2"/>
      <c r="BY43" s="2"/>
      <c r="BZ43" s="2"/>
      <c r="CA43" s="2"/>
      <c r="CB43" s="2"/>
      <c r="CC43" s="2"/>
    </row>
    <row r="44" spans="1:83" x14ac:dyDescent="0.45">
      <c r="A44" s="83" t="s">
        <v>42</v>
      </c>
      <c r="B44" s="17">
        <f t="shared" si="10"/>
        <v>0</v>
      </c>
      <c r="C44" s="17">
        <f t="shared" si="10"/>
        <v>0</v>
      </c>
      <c r="D44" s="17">
        <f t="shared" si="10"/>
        <v>0</v>
      </c>
      <c r="E44" s="17">
        <f t="shared" ref="E44:J53" si="11">SUM(E88+E131+E174+E217+E260+E303)</f>
        <v>0</v>
      </c>
      <c r="F44" s="17">
        <f t="shared" si="11"/>
        <v>1</v>
      </c>
      <c r="G44" s="17">
        <f t="shared" si="11"/>
        <v>3</v>
      </c>
      <c r="H44" s="17">
        <f t="shared" si="11"/>
        <v>0</v>
      </c>
      <c r="I44" s="17">
        <f t="shared" si="11"/>
        <v>0</v>
      </c>
      <c r="J44" s="17">
        <f t="shared" si="11"/>
        <v>0</v>
      </c>
      <c r="K44" s="17">
        <f t="shared" si="2"/>
        <v>4</v>
      </c>
      <c r="N44" s="73">
        <v>4</v>
      </c>
      <c r="O44" s="90" t="s">
        <v>3</v>
      </c>
      <c r="P44" s="86">
        <v>0</v>
      </c>
      <c r="Q44" s="86">
        <v>0</v>
      </c>
      <c r="R44" s="86">
        <v>39</v>
      </c>
      <c r="S44" s="86">
        <v>6</v>
      </c>
      <c r="T44" s="86">
        <v>0</v>
      </c>
      <c r="U44" s="86">
        <v>1</v>
      </c>
      <c r="V44" s="86">
        <v>0</v>
      </c>
      <c r="W44" s="86">
        <v>0</v>
      </c>
      <c r="X44" s="86">
        <v>0</v>
      </c>
      <c r="Y44" s="86">
        <v>46</v>
      </c>
      <c r="AA44" s="2"/>
      <c r="AB44" s="90" t="s">
        <v>14</v>
      </c>
      <c r="AC44" s="86">
        <v>0</v>
      </c>
      <c r="AD44" s="86">
        <v>0</v>
      </c>
      <c r="AE44" s="86">
        <v>0</v>
      </c>
      <c r="AF44" s="86">
        <v>0</v>
      </c>
      <c r="AG44" s="86">
        <v>206</v>
      </c>
      <c r="AH44" s="86">
        <v>256</v>
      </c>
      <c r="AI44" s="86">
        <v>88</v>
      </c>
      <c r="AJ44" s="86">
        <v>28</v>
      </c>
      <c r="AK44" s="86">
        <v>0</v>
      </c>
      <c r="AL44" s="86">
        <v>578</v>
      </c>
      <c r="AM44" s="2"/>
      <c r="AN44" s="2"/>
      <c r="AO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row>
    <row r="45" spans="1:83" x14ac:dyDescent="0.45">
      <c r="A45" s="3" t="s">
        <v>8</v>
      </c>
      <c r="B45" s="17">
        <f t="shared" si="10"/>
        <v>0</v>
      </c>
      <c r="C45" s="17">
        <f t="shared" si="10"/>
        <v>0</v>
      </c>
      <c r="D45" s="17">
        <f t="shared" si="10"/>
        <v>0</v>
      </c>
      <c r="E45" s="17">
        <f t="shared" si="11"/>
        <v>0</v>
      </c>
      <c r="F45" s="17">
        <f t="shared" si="11"/>
        <v>0</v>
      </c>
      <c r="G45" s="17">
        <f t="shared" si="11"/>
        <v>1</v>
      </c>
      <c r="H45" s="17">
        <f t="shared" si="11"/>
        <v>18</v>
      </c>
      <c r="I45" s="17">
        <f t="shared" si="11"/>
        <v>9</v>
      </c>
      <c r="J45" s="17">
        <f t="shared" si="11"/>
        <v>0</v>
      </c>
      <c r="K45" s="17">
        <f t="shared" si="2"/>
        <v>28</v>
      </c>
      <c r="N45" s="73"/>
      <c r="O45" s="90" t="s">
        <v>48</v>
      </c>
      <c r="P45" s="86">
        <v>0</v>
      </c>
      <c r="Q45" s="86">
        <v>0</v>
      </c>
      <c r="R45" s="86">
        <v>0</v>
      </c>
      <c r="S45" s="86">
        <v>0</v>
      </c>
      <c r="T45" s="86">
        <v>2</v>
      </c>
      <c r="U45" s="86">
        <v>0</v>
      </c>
      <c r="V45" s="86">
        <v>0</v>
      </c>
      <c r="W45" s="86">
        <v>0</v>
      </c>
      <c r="X45" s="86">
        <v>0</v>
      </c>
      <c r="Y45" s="86">
        <v>2</v>
      </c>
      <c r="AA45" s="2"/>
      <c r="AB45" s="90" t="s">
        <v>1</v>
      </c>
      <c r="AC45" s="86">
        <v>0</v>
      </c>
      <c r="AD45" s="86">
        <v>0</v>
      </c>
      <c r="AE45" s="86">
        <v>0</v>
      </c>
      <c r="AF45" s="86">
        <v>0</v>
      </c>
      <c r="AG45" s="86">
        <v>3</v>
      </c>
      <c r="AH45" s="86">
        <v>26</v>
      </c>
      <c r="AI45" s="86">
        <v>45</v>
      </c>
      <c r="AJ45" s="86">
        <v>73</v>
      </c>
      <c r="AK45" s="86">
        <v>39</v>
      </c>
      <c r="AL45" s="86">
        <v>186</v>
      </c>
      <c r="AM45" s="17"/>
      <c r="AN45" s="2"/>
      <c r="AO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row>
    <row r="46" spans="1:83" x14ac:dyDescent="0.45">
      <c r="A46" s="3" t="s">
        <v>9</v>
      </c>
      <c r="B46" s="17">
        <f t="shared" si="10"/>
        <v>0</v>
      </c>
      <c r="C46" s="17">
        <f t="shared" si="10"/>
        <v>0</v>
      </c>
      <c r="D46" s="17">
        <f t="shared" si="10"/>
        <v>0</v>
      </c>
      <c r="E46" s="17">
        <f t="shared" si="11"/>
        <v>36</v>
      </c>
      <c r="F46" s="17">
        <f t="shared" si="11"/>
        <v>41</v>
      </c>
      <c r="G46" s="17">
        <f t="shared" si="11"/>
        <v>364</v>
      </c>
      <c r="H46" s="17">
        <f t="shared" si="11"/>
        <v>303</v>
      </c>
      <c r="I46" s="17">
        <f t="shared" si="11"/>
        <v>106</v>
      </c>
      <c r="J46" s="17">
        <f t="shared" si="11"/>
        <v>0</v>
      </c>
      <c r="K46" s="17">
        <f t="shared" si="2"/>
        <v>850</v>
      </c>
      <c r="N46" s="73">
        <v>5</v>
      </c>
      <c r="O46" s="90" t="s">
        <v>7</v>
      </c>
      <c r="P46" s="86">
        <v>0</v>
      </c>
      <c r="Q46" s="86">
        <v>0</v>
      </c>
      <c r="R46" s="86">
        <v>0</v>
      </c>
      <c r="S46" s="86">
        <v>4</v>
      </c>
      <c r="T46" s="86">
        <v>2</v>
      </c>
      <c r="U46" s="86">
        <v>0</v>
      </c>
      <c r="V46" s="86">
        <v>0</v>
      </c>
      <c r="W46" s="86">
        <v>0</v>
      </c>
      <c r="X46" s="86">
        <v>0</v>
      </c>
      <c r="Y46" s="86">
        <v>6</v>
      </c>
      <c r="AA46" s="2"/>
      <c r="AB46" s="90" t="s">
        <v>47</v>
      </c>
      <c r="AC46" s="86">
        <v>0</v>
      </c>
      <c r="AD46" s="86">
        <v>0</v>
      </c>
      <c r="AE46" s="86">
        <v>0</v>
      </c>
      <c r="AF46" s="86">
        <v>0</v>
      </c>
      <c r="AG46" s="86">
        <v>33</v>
      </c>
      <c r="AH46" s="86">
        <v>53</v>
      </c>
      <c r="AI46" s="86">
        <v>57</v>
      </c>
      <c r="AJ46" s="86">
        <v>10</v>
      </c>
      <c r="AK46" s="86">
        <v>0</v>
      </c>
      <c r="AL46" s="86">
        <v>153</v>
      </c>
      <c r="AM46" s="2"/>
      <c r="AN46" s="2"/>
      <c r="AO46" s="2"/>
      <c r="AP46" s="86"/>
      <c r="AQ46" s="86"/>
      <c r="AR46" s="86"/>
      <c r="AS46" s="86"/>
      <c r="AT46" s="86"/>
      <c r="AU46" s="86"/>
      <c r="AV46" s="86"/>
      <c r="AW46" s="86"/>
      <c r="AX46" s="86"/>
      <c r="AY46" s="86"/>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row>
    <row r="47" spans="1:83" x14ac:dyDescent="0.45">
      <c r="A47" s="83" t="s">
        <v>44</v>
      </c>
      <c r="B47" s="17">
        <f t="shared" si="10"/>
        <v>0</v>
      </c>
      <c r="C47" s="17">
        <f t="shared" si="10"/>
        <v>0</v>
      </c>
      <c r="D47" s="17">
        <f t="shared" si="10"/>
        <v>2</v>
      </c>
      <c r="E47" s="17">
        <f t="shared" si="11"/>
        <v>0</v>
      </c>
      <c r="F47" s="17">
        <f t="shared" si="11"/>
        <v>0</v>
      </c>
      <c r="G47" s="17">
        <f t="shared" si="11"/>
        <v>1</v>
      </c>
      <c r="H47" s="17">
        <f t="shared" si="11"/>
        <v>0</v>
      </c>
      <c r="I47" s="17">
        <f t="shared" si="11"/>
        <v>0</v>
      </c>
      <c r="J47" s="17">
        <f t="shared" si="11"/>
        <v>2</v>
      </c>
      <c r="K47" s="17">
        <f t="shared" si="2"/>
        <v>5</v>
      </c>
      <c r="N47" s="73">
        <v>6</v>
      </c>
      <c r="O47" s="90" t="s">
        <v>51</v>
      </c>
      <c r="P47" s="86">
        <v>0</v>
      </c>
      <c r="Q47" s="86">
        <v>0</v>
      </c>
      <c r="R47" s="86">
        <v>0</v>
      </c>
      <c r="S47" s="86">
        <v>0</v>
      </c>
      <c r="T47" s="86">
        <v>0</v>
      </c>
      <c r="U47" s="86">
        <v>0</v>
      </c>
      <c r="V47" s="86">
        <v>0</v>
      </c>
      <c r="W47" s="86">
        <v>1</v>
      </c>
      <c r="X47" s="86">
        <v>0</v>
      </c>
      <c r="Y47" s="86">
        <v>1</v>
      </c>
      <c r="AA47" s="2"/>
      <c r="AB47" s="90" t="s">
        <v>9</v>
      </c>
      <c r="AC47" s="86">
        <v>0</v>
      </c>
      <c r="AD47" s="86">
        <v>0</v>
      </c>
      <c r="AE47" s="86">
        <v>0</v>
      </c>
      <c r="AF47" s="86">
        <v>0</v>
      </c>
      <c r="AG47" s="86">
        <v>41</v>
      </c>
      <c r="AH47" s="86">
        <v>44</v>
      </c>
      <c r="AI47" s="86">
        <v>3</v>
      </c>
      <c r="AJ47" s="86">
        <v>45</v>
      </c>
      <c r="AK47" s="86">
        <v>0</v>
      </c>
      <c r="AL47" s="86">
        <v>133</v>
      </c>
      <c r="AM47" s="2"/>
      <c r="AN47" s="2"/>
      <c r="AO47" s="2"/>
      <c r="AP47" s="86"/>
      <c r="AQ47" s="86"/>
      <c r="AR47" s="86"/>
      <c r="AS47" s="86"/>
      <c r="AT47" s="86"/>
      <c r="AU47" s="86"/>
      <c r="AV47" s="86"/>
      <c r="AW47" s="86"/>
      <c r="AX47" s="86"/>
      <c r="AY47" s="86"/>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row>
    <row r="48" spans="1:83" x14ac:dyDescent="0.45">
      <c r="A48" s="3" t="s">
        <v>10</v>
      </c>
      <c r="B48" s="17">
        <f t="shared" si="10"/>
        <v>0</v>
      </c>
      <c r="C48" s="17">
        <f t="shared" si="10"/>
        <v>0</v>
      </c>
      <c r="D48" s="17">
        <f t="shared" si="10"/>
        <v>0</v>
      </c>
      <c r="E48" s="17">
        <f t="shared" si="11"/>
        <v>0</v>
      </c>
      <c r="F48" s="17">
        <f t="shared" si="11"/>
        <v>1</v>
      </c>
      <c r="G48" s="17">
        <f t="shared" si="11"/>
        <v>15</v>
      </c>
      <c r="H48" s="17">
        <f t="shared" si="11"/>
        <v>2</v>
      </c>
      <c r="I48" s="17">
        <f t="shared" si="11"/>
        <v>4</v>
      </c>
      <c r="J48" s="17">
        <f t="shared" si="11"/>
        <v>0</v>
      </c>
      <c r="K48" s="17">
        <f t="shared" si="2"/>
        <v>22</v>
      </c>
      <c r="N48" s="73">
        <v>7</v>
      </c>
      <c r="O48" s="90" t="s">
        <v>42</v>
      </c>
      <c r="P48" s="86">
        <v>0</v>
      </c>
      <c r="Q48" s="86">
        <v>0</v>
      </c>
      <c r="R48" s="86">
        <v>0</v>
      </c>
      <c r="S48" s="86">
        <v>0</v>
      </c>
      <c r="T48" s="86">
        <v>0</v>
      </c>
      <c r="U48" s="86">
        <v>3</v>
      </c>
      <c r="V48" s="86">
        <v>0</v>
      </c>
      <c r="W48" s="86">
        <v>0</v>
      </c>
      <c r="X48" s="86">
        <v>0</v>
      </c>
      <c r="Y48" s="86">
        <v>3</v>
      </c>
      <c r="AA48" s="2"/>
      <c r="AB48" s="90" t="s">
        <v>2</v>
      </c>
      <c r="AC48" s="86">
        <v>1</v>
      </c>
      <c r="AD48" s="86">
        <v>25</v>
      </c>
      <c r="AE48" s="86">
        <v>29</v>
      </c>
      <c r="AF48" s="86">
        <v>9</v>
      </c>
      <c r="AG48" s="86">
        <v>17</v>
      </c>
      <c r="AH48" s="86">
        <v>22</v>
      </c>
      <c r="AI48" s="86">
        <v>3</v>
      </c>
      <c r="AJ48" s="86">
        <v>0</v>
      </c>
      <c r="AK48" s="86">
        <v>0</v>
      </c>
      <c r="AL48" s="86">
        <v>106</v>
      </c>
      <c r="AM48" s="2"/>
      <c r="AN48" s="2"/>
      <c r="AO48" s="2"/>
      <c r="AP48" s="86"/>
      <c r="AQ48" s="86"/>
      <c r="AR48" s="86"/>
      <c r="AS48" s="86"/>
      <c r="AT48" s="86"/>
      <c r="AU48" s="86"/>
      <c r="AV48" s="86"/>
      <c r="AW48" s="86"/>
      <c r="AX48" s="86"/>
      <c r="AY48" s="86"/>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row>
    <row r="49" spans="1:83" x14ac:dyDescent="0.45">
      <c r="A49" s="3" t="s">
        <v>11</v>
      </c>
      <c r="B49" s="17">
        <f t="shared" si="10"/>
        <v>0</v>
      </c>
      <c r="C49" s="17">
        <f t="shared" si="10"/>
        <v>0</v>
      </c>
      <c r="D49" s="17">
        <f t="shared" si="10"/>
        <v>0</v>
      </c>
      <c r="E49" s="17">
        <f t="shared" si="11"/>
        <v>0</v>
      </c>
      <c r="F49" s="17">
        <f t="shared" si="11"/>
        <v>343</v>
      </c>
      <c r="G49" s="17">
        <f t="shared" si="11"/>
        <v>1626</v>
      </c>
      <c r="H49" s="17">
        <f t="shared" si="11"/>
        <v>631</v>
      </c>
      <c r="I49" s="17">
        <f t="shared" si="11"/>
        <v>320</v>
      </c>
      <c r="J49" s="17">
        <f t="shared" si="11"/>
        <v>21</v>
      </c>
      <c r="K49" s="17">
        <f t="shared" si="2"/>
        <v>2941</v>
      </c>
      <c r="N49" s="73">
        <v>8</v>
      </c>
      <c r="O49" s="90" t="s">
        <v>8</v>
      </c>
      <c r="P49" s="86">
        <v>0</v>
      </c>
      <c r="Q49" s="86">
        <v>0</v>
      </c>
      <c r="R49" s="86">
        <v>0</v>
      </c>
      <c r="S49" s="86">
        <v>0</v>
      </c>
      <c r="T49" s="86">
        <v>0</v>
      </c>
      <c r="U49" s="86">
        <v>1</v>
      </c>
      <c r="V49" s="86">
        <v>15</v>
      </c>
      <c r="W49" s="86">
        <v>7</v>
      </c>
      <c r="X49" s="86">
        <v>0</v>
      </c>
      <c r="Y49" s="86">
        <v>23</v>
      </c>
      <c r="AA49" s="2"/>
      <c r="AB49" s="90" t="s">
        <v>12</v>
      </c>
      <c r="AC49" s="86">
        <v>0</v>
      </c>
      <c r="AD49" s="86">
        <v>0</v>
      </c>
      <c r="AE49" s="86">
        <v>0</v>
      </c>
      <c r="AF49" s="86">
        <v>0</v>
      </c>
      <c r="AG49" s="86">
        <v>8</v>
      </c>
      <c r="AH49" s="86">
        <v>18</v>
      </c>
      <c r="AI49" s="86">
        <v>15</v>
      </c>
      <c r="AJ49" s="86">
        <v>8</v>
      </c>
      <c r="AK49" s="86">
        <v>1</v>
      </c>
      <c r="AL49" s="86">
        <v>50</v>
      </c>
      <c r="AM49" s="2"/>
      <c r="AN49" s="2"/>
      <c r="AO49" s="2"/>
      <c r="AP49" s="86"/>
      <c r="AQ49" s="86"/>
      <c r="AR49" s="86"/>
      <c r="AS49" s="86"/>
      <c r="AT49" s="86"/>
      <c r="AU49" s="86"/>
      <c r="AV49" s="86"/>
      <c r="AW49" s="86"/>
      <c r="AX49" s="86"/>
      <c r="AY49" s="86"/>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row>
    <row r="50" spans="1:83" x14ac:dyDescent="0.45">
      <c r="A50" s="3" t="s">
        <v>12</v>
      </c>
      <c r="B50" s="17">
        <f t="shared" si="10"/>
        <v>0</v>
      </c>
      <c r="C50" s="17">
        <f t="shared" si="10"/>
        <v>0</v>
      </c>
      <c r="D50" s="17">
        <f t="shared" si="10"/>
        <v>0</v>
      </c>
      <c r="E50" s="17">
        <f t="shared" si="11"/>
        <v>0</v>
      </c>
      <c r="F50" s="17">
        <f t="shared" si="11"/>
        <v>24</v>
      </c>
      <c r="G50" s="17">
        <f t="shared" si="11"/>
        <v>18</v>
      </c>
      <c r="H50" s="17">
        <f t="shared" si="11"/>
        <v>15</v>
      </c>
      <c r="I50" s="17">
        <f t="shared" si="11"/>
        <v>8</v>
      </c>
      <c r="J50" s="17">
        <f t="shared" si="11"/>
        <v>1</v>
      </c>
      <c r="K50" s="17">
        <f t="shared" si="2"/>
        <v>66</v>
      </c>
      <c r="N50" s="73">
        <v>9</v>
      </c>
      <c r="O50" s="90" t="s">
        <v>9</v>
      </c>
      <c r="P50" s="86">
        <v>0</v>
      </c>
      <c r="Q50" s="86">
        <v>0</v>
      </c>
      <c r="R50" s="86">
        <v>0</v>
      </c>
      <c r="S50" s="86">
        <v>0</v>
      </c>
      <c r="T50" s="86">
        <v>41</v>
      </c>
      <c r="U50" s="86">
        <v>44</v>
      </c>
      <c r="V50" s="86">
        <v>3</v>
      </c>
      <c r="W50" s="86">
        <v>45</v>
      </c>
      <c r="X50" s="86">
        <v>0</v>
      </c>
      <c r="Y50" s="86">
        <v>133</v>
      </c>
      <c r="AA50" s="2"/>
      <c r="AB50" s="90" t="s">
        <v>3</v>
      </c>
      <c r="AC50" s="86">
        <v>0</v>
      </c>
      <c r="AD50" s="86">
        <v>0</v>
      </c>
      <c r="AE50" s="86">
        <v>39</v>
      </c>
      <c r="AF50" s="86">
        <v>6</v>
      </c>
      <c r="AG50" s="86">
        <v>0</v>
      </c>
      <c r="AH50" s="86">
        <v>1</v>
      </c>
      <c r="AI50" s="86">
        <v>0</v>
      </c>
      <c r="AJ50" s="86">
        <v>0</v>
      </c>
      <c r="AK50" s="86">
        <v>0</v>
      </c>
      <c r="AL50" s="86">
        <v>46</v>
      </c>
      <c r="AM50" s="2"/>
      <c r="AN50" s="2"/>
      <c r="AO50" s="2"/>
      <c r="AP50" s="86"/>
      <c r="AQ50" s="86"/>
      <c r="AR50" s="86"/>
      <c r="AS50" s="86"/>
      <c r="AT50" s="86"/>
      <c r="AU50" s="86"/>
      <c r="AV50" s="86"/>
      <c r="AW50" s="86"/>
      <c r="AX50" s="86"/>
      <c r="AY50" s="86"/>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row>
    <row r="51" spans="1:83" s="2" customFormat="1" x14ac:dyDescent="0.45">
      <c r="A51" s="83" t="s">
        <v>32</v>
      </c>
      <c r="B51" s="17">
        <f t="shared" si="10"/>
        <v>0</v>
      </c>
      <c r="C51" s="17">
        <f t="shared" si="10"/>
        <v>0</v>
      </c>
      <c r="D51" s="17">
        <f t="shared" si="10"/>
        <v>0</v>
      </c>
      <c r="E51" s="17">
        <f t="shared" si="11"/>
        <v>0</v>
      </c>
      <c r="F51" s="17">
        <f t="shared" si="11"/>
        <v>0</v>
      </c>
      <c r="G51" s="17">
        <f t="shared" si="11"/>
        <v>0</v>
      </c>
      <c r="H51" s="17">
        <f t="shared" si="11"/>
        <v>0</v>
      </c>
      <c r="I51" s="17">
        <f t="shared" si="11"/>
        <v>0</v>
      </c>
      <c r="J51" s="17">
        <f t="shared" si="11"/>
        <v>0</v>
      </c>
      <c r="K51" s="17">
        <f t="shared" si="2"/>
        <v>0</v>
      </c>
      <c r="L51"/>
      <c r="N51" s="73">
        <v>10</v>
      </c>
      <c r="O51" s="90" t="s">
        <v>44</v>
      </c>
      <c r="P51" s="86">
        <v>0</v>
      </c>
      <c r="Q51" s="86">
        <v>0</v>
      </c>
      <c r="R51" s="86">
        <v>2</v>
      </c>
      <c r="S51" s="86">
        <v>0</v>
      </c>
      <c r="T51" s="86">
        <v>0</v>
      </c>
      <c r="U51" s="86">
        <v>1</v>
      </c>
      <c r="V51" s="86">
        <v>0</v>
      </c>
      <c r="W51" s="86">
        <v>0</v>
      </c>
      <c r="X51" s="86">
        <v>2</v>
      </c>
      <c r="Y51" s="86">
        <v>5</v>
      </c>
      <c r="Z51"/>
      <c r="AB51" s="90" t="s">
        <v>13</v>
      </c>
      <c r="AC51" s="86">
        <v>0</v>
      </c>
      <c r="AD51" s="86">
        <v>0</v>
      </c>
      <c r="AE51" s="86">
        <v>0</v>
      </c>
      <c r="AF51" s="86">
        <v>0</v>
      </c>
      <c r="AG51" s="86">
        <v>0</v>
      </c>
      <c r="AH51" s="86">
        <v>0</v>
      </c>
      <c r="AI51" s="86">
        <v>0</v>
      </c>
      <c r="AJ51" s="86">
        <v>40</v>
      </c>
      <c r="AK51" s="86">
        <v>0</v>
      </c>
      <c r="AL51" s="86">
        <v>40</v>
      </c>
      <c r="AP51" s="86"/>
      <c r="AQ51" s="86"/>
      <c r="AR51" s="86"/>
      <c r="AS51" s="86"/>
      <c r="AT51" s="86"/>
      <c r="AU51" s="86"/>
      <c r="AV51" s="86"/>
      <c r="AW51" s="86"/>
      <c r="AX51" s="86"/>
      <c r="AY51" s="86"/>
      <c r="CD51"/>
      <c r="CE51"/>
    </row>
    <row r="52" spans="1:83" x14ac:dyDescent="0.45">
      <c r="A52" s="3" t="s">
        <v>18</v>
      </c>
      <c r="B52" s="17">
        <f t="shared" si="10"/>
        <v>0</v>
      </c>
      <c r="C52" s="17">
        <f t="shared" si="10"/>
        <v>0</v>
      </c>
      <c r="D52" s="17">
        <f t="shared" si="10"/>
        <v>0</v>
      </c>
      <c r="E52" s="17">
        <f t="shared" si="11"/>
        <v>0</v>
      </c>
      <c r="F52" s="17">
        <f t="shared" si="11"/>
        <v>70</v>
      </c>
      <c r="G52" s="17">
        <f t="shared" si="11"/>
        <v>410</v>
      </c>
      <c r="H52" s="17">
        <f t="shared" si="11"/>
        <v>334</v>
      </c>
      <c r="I52" s="17">
        <f t="shared" si="11"/>
        <v>106</v>
      </c>
      <c r="J52" s="17">
        <f t="shared" si="11"/>
        <v>2</v>
      </c>
      <c r="K52" s="17">
        <f t="shared" si="2"/>
        <v>922</v>
      </c>
      <c r="N52" s="73">
        <v>11</v>
      </c>
      <c r="O52" s="90" t="s">
        <v>10</v>
      </c>
      <c r="P52" s="86">
        <v>0</v>
      </c>
      <c r="Q52" s="86">
        <v>0</v>
      </c>
      <c r="R52" s="86">
        <v>0</v>
      </c>
      <c r="S52" s="86">
        <v>0</v>
      </c>
      <c r="T52" s="86">
        <v>1</v>
      </c>
      <c r="U52" s="86">
        <v>15</v>
      </c>
      <c r="V52" s="86">
        <v>2</v>
      </c>
      <c r="W52" s="86">
        <v>1</v>
      </c>
      <c r="X52" s="86">
        <v>0</v>
      </c>
      <c r="Y52" s="86">
        <v>19</v>
      </c>
      <c r="AA52" s="2"/>
      <c r="AB52" s="90" t="s">
        <v>8</v>
      </c>
      <c r="AC52" s="86">
        <v>0</v>
      </c>
      <c r="AD52" s="86">
        <v>0</v>
      </c>
      <c r="AE52" s="86">
        <v>0</v>
      </c>
      <c r="AF52" s="86">
        <v>0</v>
      </c>
      <c r="AG52" s="86">
        <v>0</v>
      </c>
      <c r="AH52" s="86">
        <v>1</v>
      </c>
      <c r="AI52" s="86">
        <v>15</v>
      </c>
      <c r="AJ52" s="86">
        <v>7</v>
      </c>
      <c r="AK52" s="86">
        <v>0</v>
      </c>
      <c r="AL52" s="86">
        <v>23</v>
      </c>
      <c r="AM52" s="2"/>
      <c r="AN52" s="2"/>
      <c r="AO52" s="2"/>
      <c r="AP52" s="86"/>
      <c r="AQ52" s="86"/>
      <c r="AR52" s="86"/>
      <c r="AS52" s="86"/>
      <c r="AT52" s="86"/>
      <c r="AU52" s="86"/>
      <c r="AV52" s="86"/>
      <c r="AW52" s="86"/>
      <c r="AX52" s="86"/>
      <c r="AY52" s="86"/>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row>
    <row r="53" spans="1:83" s="2" customFormat="1" x14ac:dyDescent="0.45">
      <c r="A53" s="83" t="s">
        <v>46</v>
      </c>
      <c r="B53" s="17">
        <f t="shared" si="10"/>
        <v>0</v>
      </c>
      <c r="C53" s="17">
        <f t="shared" si="10"/>
        <v>0</v>
      </c>
      <c r="D53" s="17">
        <f t="shared" si="10"/>
        <v>0</v>
      </c>
      <c r="E53" s="17">
        <f t="shared" si="11"/>
        <v>0</v>
      </c>
      <c r="F53" s="17">
        <f t="shared" si="11"/>
        <v>0</v>
      </c>
      <c r="G53" s="17">
        <f t="shared" si="11"/>
        <v>0</v>
      </c>
      <c r="H53" s="17">
        <f t="shared" si="11"/>
        <v>0</v>
      </c>
      <c r="I53" s="17">
        <f t="shared" si="11"/>
        <v>1</v>
      </c>
      <c r="J53" s="17">
        <f t="shared" si="11"/>
        <v>0</v>
      </c>
      <c r="K53" s="17">
        <f t="shared" si="2"/>
        <v>1</v>
      </c>
      <c r="L53"/>
      <c r="N53" s="73">
        <v>12</v>
      </c>
      <c r="O53" s="90" t="s">
        <v>11</v>
      </c>
      <c r="P53" s="86">
        <v>0</v>
      </c>
      <c r="Q53" s="86">
        <v>0</v>
      </c>
      <c r="R53" s="86">
        <v>0</v>
      </c>
      <c r="S53" s="86">
        <v>0</v>
      </c>
      <c r="T53" s="86">
        <v>343</v>
      </c>
      <c r="U53" s="86">
        <v>1622</v>
      </c>
      <c r="V53" s="86">
        <v>431</v>
      </c>
      <c r="W53" s="86">
        <v>320</v>
      </c>
      <c r="X53" s="86">
        <v>21</v>
      </c>
      <c r="Y53" s="86">
        <v>2737</v>
      </c>
      <c r="Z53"/>
      <c r="AB53" s="90" t="s">
        <v>10</v>
      </c>
      <c r="AC53" s="86">
        <v>0</v>
      </c>
      <c r="AD53" s="86">
        <v>0</v>
      </c>
      <c r="AE53" s="86">
        <v>0</v>
      </c>
      <c r="AF53" s="86">
        <v>0</v>
      </c>
      <c r="AG53" s="86">
        <v>1</v>
      </c>
      <c r="AH53" s="86">
        <v>15</v>
      </c>
      <c r="AI53" s="86">
        <v>2</v>
      </c>
      <c r="AJ53" s="86">
        <v>1</v>
      </c>
      <c r="AK53" s="86">
        <v>0</v>
      </c>
      <c r="AL53" s="86">
        <v>19</v>
      </c>
      <c r="AP53" s="86"/>
      <c r="AQ53" s="86"/>
      <c r="AR53" s="86"/>
      <c r="AS53" s="86"/>
      <c r="AT53" s="86"/>
      <c r="AU53" s="86"/>
      <c r="AV53" s="86"/>
      <c r="AW53" s="86"/>
      <c r="AX53" s="86"/>
      <c r="AY53" s="86"/>
      <c r="CD53"/>
      <c r="CE53"/>
    </row>
    <row r="54" spans="1:83" x14ac:dyDescent="0.45">
      <c r="A54" s="3" t="s">
        <v>13</v>
      </c>
      <c r="B54" s="17">
        <f t="shared" si="10"/>
        <v>0</v>
      </c>
      <c r="C54" s="17">
        <f t="shared" si="10"/>
        <v>0</v>
      </c>
      <c r="D54" s="17">
        <f t="shared" si="10"/>
        <v>0</v>
      </c>
      <c r="E54" s="17">
        <f t="shared" ref="E54:J59" si="12">SUM(E98+E141+E184+E227+E270+E313)</f>
        <v>0</v>
      </c>
      <c r="F54" s="17">
        <f t="shared" si="12"/>
        <v>0</v>
      </c>
      <c r="G54" s="17">
        <f t="shared" si="12"/>
        <v>0</v>
      </c>
      <c r="H54" s="17">
        <f t="shared" si="12"/>
        <v>0</v>
      </c>
      <c r="I54" s="17">
        <f t="shared" si="12"/>
        <v>40</v>
      </c>
      <c r="J54" s="17">
        <f t="shared" si="12"/>
        <v>0</v>
      </c>
      <c r="K54" s="17">
        <f t="shared" si="2"/>
        <v>40</v>
      </c>
      <c r="N54" s="73">
        <v>12</v>
      </c>
      <c r="O54" s="90" t="s">
        <v>12</v>
      </c>
      <c r="P54" s="86">
        <v>0</v>
      </c>
      <c r="Q54" s="86">
        <v>0</v>
      </c>
      <c r="R54" s="86">
        <v>0</v>
      </c>
      <c r="S54" s="86">
        <v>0</v>
      </c>
      <c r="T54" s="86">
        <v>8</v>
      </c>
      <c r="U54" s="86">
        <v>18</v>
      </c>
      <c r="V54" s="86">
        <v>15</v>
      </c>
      <c r="W54" s="86">
        <v>8</v>
      </c>
      <c r="X54" s="86">
        <v>1</v>
      </c>
      <c r="Y54" s="86">
        <v>50</v>
      </c>
      <c r="AA54" s="2"/>
      <c r="AB54" s="90" t="s">
        <v>41</v>
      </c>
      <c r="AC54" s="86">
        <v>0</v>
      </c>
      <c r="AD54" s="86">
        <v>0</v>
      </c>
      <c r="AE54" s="86">
        <v>5</v>
      </c>
      <c r="AF54" s="86">
        <v>0</v>
      </c>
      <c r="AG54" s="86">
        <v>6</v>
      </c>
      <c r="AH54" s="86">
        <v>0</v>
      </c>
      <c r="AI54" s="86">
        <v>2</v>
      </c>
      <c r="AJ54" s="86">
        <v>0</v>
      </c>
      <c r="AK54" s="86">
        <v>0</v>
      </c>
      <c r="AL54" s="86">
        <v>13</v>
      </c>
      <c r="AM54" s="2"/>
      <c r="AN54" s="2"/>
      <c r="AO54" s="2"/>
      <c r="AP54" s="86"/>
      <c r="AQ54" s="86"/>
      <c r="AR54" s="86"/>
      <c r="AS54" s="86"/>
      <c r="AT54" s="86"/>
      <c r="AU54" s="86"/>
      <c r="AV54" s="86"/>
      <c r="AW54" s="86"/>
      <c r="AX54" s="86"/>
      <c r="AY54" s="86"/>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row>
    <row r="55" spans="1:83" x14ac:dyDescent="0.45">
      <c r="A55" s="3" t="s">
        <v>14</v>
      </c>
      <c r="B55" s="17">
        <f t="shared" si="10"/>
        <v>0</v>
      </c>
      <c r="C55" s="17">
        <f t="shared" si="10"/>
        <v>0</v>
      </c>
      <c r="D55" s="17">
        <f t="shared" si="10"/>
        <v>0</v>
      </c>
      <c r="E55" s="17">
        <f t="shared" si="12"/>
        <v>0</v>
      </c>
      <c r="F55" s="17">
        <f t="shared" si="12"/>
        <v>206</v>
      </c>
      <c r="G55" s="17">
        <f t="shared" si="12"/>
        <v>256</v>
      </c>
      <c r="H55" s="17">
        <f t="shared" si="12"/>
        <v>89</v>
      </c>
      <c r="I55" s="17">
        <f t="shared" si="12"/>
        <v>28</v>
      </c>
      <c r="J55" s="17">
        <f t="shared" si="12"/>
        <v>0</v>
      </c>
      <c r="K55" s="17">
        <f t="shared" si="2"/>
        <v>579</v>
      </c>
      <c r="N55" s="73"/>
      <c r="O55" s="90" t="s">
        <v>18</v>
      </c>
      <c r="P55" s="86">
        <v>0</v>
      </c>
      <c r="Q55" s="86">
        <v>0</v>
      </c>
      <c r="R55" s="86">
        <v>0</v>
      </c>
      <c r="S55" s="86">
        <v>0</v>
      </c>
      <c r="T55" s="86">
        <v>70</v>
      </c>
      <c r="U55" s="86">
        <v>360</v>
      </c>
      <c r="V55" s="86">
        <v>334</v>
      </c>
      <c r="W55" s="86">
        <v>70</v>
      </c>
      <c r="X55" s="86">
        <v>2</v>
      </c>
      <c r="Y55" s="86">
        <v>836</v>
      </c>
      <c r="AA55" s="2"/>
      <c r="AB55" s="90" t="s">
        <v>17</v>
      </c>
      <c r="AC55" s="86">
        <v>0</v>
      </c>
      <c r="AD55" s="86">
        <v>0</v>
      </c>
      <c r="AE55" s="86">
        <v>0</v>
      </c>
      <c r="AF55" s="86">
        <v>0</v>
      </c>
      <c r="AG55" s="86">
        <v>0</v>
      </c>
      <c r="AH55" s="86">
        <v>0</v>
      </c>
      <c r="AI55" s="86">
        <v>0</v>
      </c>
      <c r="AJ55" s="86">
        <v>12</v>
      </c>
      <c r="AK55" s="86">
        <v>0</v>
      </c>
      <c r="AL55" s="86">
        <v>12</v>
      </c>
      <c r="AM55" s="2"/>
      <c r="AN55" s="2"/>
      <c r="AO55" s="2"/>
      <c r="AP55" s="86"/>
      <c r="AQ55" s="86"/>
      <c r="AR55" s="86"/>
      <c r="AS55" s="86"/>
      <c r="AT55" s="86"/>
      <c r="AU55" s="86"/>
      <c r="AV55" s="86"/>
      <c r="AW55" s="86"/>
      <c r="AX55" s="86"/>
      <c r="AY55" s="86"/>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row>
    <row r="56" spans="1:83" x14ac:dyDescent="0.45">
      <c r="A56" s="83" t="s">
        <v>40</v>
      </c>
      <c r="B56" s="17">
        <f t="shared" si="10"/>
        <v>1</v>
      </c>
      <c r="C56" s="17">
        <f t="shared" si="10"/>
        <v>0</v>
      </c>
      <c r="D56" s="17">
        <f t="shared" si="10"/>
        <v>1</v>
      </c>
      <c r="E56" s="17">
        <f t="shared" si="12"/>
        <v>0</v>
      </c>
      <c r="F56" s="17">
        <f t="shared" si="12"/>
        <v>0</v>
      </c>
      <c r="G56" s="17">
        <f t="shared" si="12"/>
        <v>0</v>
      </c>
      <c r="H56" s="17">
        <f t="shared" si="12"/>
        <v>0</v>
      </c>
      <c r="I56" s="17">
        <f t="shared" si="12"/>
        <v>1</v>
      </c>
      <c r="J56" s="17">
        <f t="shared" si="12"/>
        <v>0</v>
      </c>
      <c r="K56" s="17">
        <f t="shared" si="2"/>
        <v>3</v>
      </c>
      <c r="N56" s="73">
        <v>14</v>
      </c>
      <c r="O56" s="90" t="s">
        <v>46</v>
      </c>
      <c r="P56" s="86">
        <v>0</v>
      </c>
      <c r="Q56" s="86">
        <v>0</v>
      </c>
      <c r="R56" s="86">
        <v>0</v>
      </c>
      <c r="S56" s="86">
        <v>0</v>
      </c>
      <c r="T56" s="86">
        <v>0</v>
      </c>
      <c r="U56" s="86">
        <v>0</v>
      </c>
      <c r="V56" s="86">
        <v>0</v>
      </c>
      <c r="W56" s="86">
        <v>1</v>
      </c>
      <c r="X56" s="86">
        <v>0</v>
      </c>
      <c r="Y56" s="86">
        <v>1</v>
      </c>
      <c r="AA56" s="2"/>
      <c r="AB56" s="90" t="s">
        <v>7</v>
      </c>
      <c r="AC56" s="86">
        <v>0</v>
      </c>
      <c r="AD56" s="86">
        <v>0</v>
      </c>
      <c r="AE56" s="86">
        <v>0</v>
      </c>
      <c r="AF56" s="86">
        <v>4</v>
      </c>
      <c r="AG56" s="86">
        <v>2</v>
      </c>
      <c r="AH56" s="86">
        <v>0</v>
      </c>
      <c r="AI56" s="86">
        <v>0</v>
      </c>
      <c r="AJ56" s="86">
        <v>0</v>
      </c>
      <c r="AK56" s="86">
        <v>0</v>
      </c>
      <c r="AL56" s="86">
        <v>6</v>
      </c>
      <c r="AM56" s="2"/>
      <c r="AN56" s="2"/>
      <c r="AO56" s="2"/>
      <c r="AP56" s="86"/>
      <c r="AQ56" s="86"/>
      <c r="AR56" s="86"/>
      <c r="AS56" s="86"/>
      <c r="AT56" s="86"/>
      <c r="AU56" s="86"/>
      <c r="AV56" s="86"/>
      <c r="AW56" s="86"/>
      <c r="AX56" s="86"/>
      <c r="AY56" s="86"/>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row>
    <row r="57" spans="1:83" x14ac:dyDescent="0.45">
      <c r="A57" s="83" t="s">
        <v>52</v>
      </c>
      <c r="B57" s="17">
        <f t="shared" si="10"/>
        <v>0</v>
      </c>
      <c r="C57" s="17">
        <f t="shared" si="10"/>
        <v>0</v>
      </c>
      <c r="D57" s="17">
        <f t="shared" si="10"/>
        <v>0</v>
      </c>
      <c r="E57" s="17">
        <f t="shared" si="12"/>
        <v>0</v>
      </c>
      <c r="F57" s="17">
        <f t="shared" si="12"/>
        <v>0</v>
      </c>
      <c r="G57" s="17">
        <f t="shared" si="12"/>
        <v>0</v>
      </c>
      <c r="H57" s="17">
        <f t="shared" si="12"/>
        <v>0</v>
      </c>
      <c r="I57" s="17">
        <f t="shared" si="12"/>
        <v>0</v>
      </c>
      <c r="J57" s="17">
        <f t="shared" si="12"/>
        <v>0</v>
      </c>
      <c r="K57" s="17">
        <f t="shared" si="2"/>
        <v>0</v>
      </c>
      <c r="N57" s="73">
        <v>15</v>
      </c>
      <c r="O57" s="90" t="s">
        <v>13</v>
      </c>
      <c r="P57" s="86">
        <v>0</v>
      </c>
      <c r="Q57" s="86">
        <v>0</v>
      </c>
      <c r="R57" s="86">
        <v>0</v>
      </c>
      <c r="S57" s="86">
        <v>0</v>
      </c>
      <c r="T57" s="86">
        <v>0</v>
      </c>
      <c r="U57" s="86">
        <v>0</v>
      </c>
      <c r="V57" s="86">
        <v>0</v>
      </c>
      <c r="W57" s="86">
        <v>40</v>
      </c>
      <c r="X57" s="86">
        <v>0</v>
      </c>
      <c r="Y57" s="86">
        <v>40</v>
      </c>
      <c r="AA57" s="2"/>
      <c r="AB57" s="90" t="s">
        <v>44</v>
      </c>
      <c r="AC57" s="86">
        <v>0</v>
      </c>
      <c r="AD57" s="86">
        <v>0</v>
      </c>
      <c r="AE57" s="86">
        <v>2</v>
      </c>
      <c r="AF57" s="86">
        <v>0</v>
      </c>
      <c r="AG57" s="86">
        <v>0</v>
      </c>
      <c r="AH57" s="86">
        <v>1</v>
      </c>
      <c r="AI57" s="86">
        <v>0</v>
      </c>
      <c r="AJ57" s="86">
        <v>0</v>
      </c>
      <c r="AK57" s="86">
        <v>2</v>
      </c>
      <c r="AL57" s="86">
        <v>5</v>
      </c>
      <c r="AM57" s="2"/>
      <c r="AN57" s="2"/>
      <c r="AO57" s="2"/>
      <c r="AP57" s="86"/>
      <c r="AQ57" s="86"/>
      <c r="AR57" s="86"/>
      <c r="AS57" s="86"/>
      <c r="AT57" s="86"/>
      <c r="AU57" s="86"/>
      <c r="AV57" s="86"/>
      <c r="AW57" s="86"/>
      <c r="AX57" s="86"/>
      <c r="AY57" s="86"/>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row>
    <row r="58" spans="1:83" x14ac:dyDescent="0.45">
      <c r="A58" s="83" t="s">
        <v>53</v>
      </c>
      <c r="B58" s="17">
        <f t="shared" si="10"/>
        <v>0</v>
      </c>
      <c r="C58" s="17">
        <f t="shared" si="10"/>
        <v>0</v>
      </c>
      <c r="D58" s="17">
        <f t="shared" si="10"/>
        <v>0</v>
      </c>
      <c r="E58" s="17">
        <f t="shared" si="12"/>
        <v>0</v>
      </c>
      <c r="F58" s="17">
        <f t="shared" si="12"/>
        <v>0</v>
      </c>
      <c r="G58" s="17">
        <f t="shared" si="12"/>
        <v>0</v>
      </c>
      <c r="H58" s="17">
        <f t="shared" si="12"/>
        <v>0</v>
      </c>
      <c r="I58" s="17">
        <f t="shared" si="12"/>
        <v>0</v>
      </c>
      <c r="J58" s="17">
        <f t="shared" si="12"/>
        <v>0</v>
      </c>
      <c r="K58" s="17">
        <f t="shared" si="2"/>
        <v>0</v>
      </c>
      <c r="N58" s="73">
        <v>16</v>
      </c>
      <c r="O58" s="90" t="s">
        <v>14</v>
      </c>
      <c r="P58" s="86">
        <v>0</v>
      </c>
      <c r="Q58" s="86">
        <v>0</v>
      </c>
      <c r="R58" s="86">
        <v>0</v>
      </c>
      <c r="S58" s="86">
        <v>0</v>
      </c>
      <c r="T58" s="86">
        <v>206</v>
      </c>
      <c r="U58" s="86">
        <v>256</v>
      </c>
      <c r="V58" s="86">
        <v>88</v>
      </c>
      <c r="W58" s="86">
        <v>28</v>
      </c>
      <c r="X58" s="86">
        <v>0</v>
      </c>
      <c r="Y58" s="86">
        <v>578</v>
      </c>
      <c r="AA58" s="2"/>
      <c r="AB58" s="90" t="s">
        <v>42</v>
      </c>
      <c r="AC58" s="86">
        <v>0</v>
      </c>
      <c r="AD58" s="86">
        <v>0</v>
      </c>
      <c r="AE58" s="86">
        <v>0</v>
      </c>
      <c r="AF58" s="86">
        <v>0</v>
      </c>
      <c r="AG58" s="86">
        <v>0</v>
      </c>
      <c r="AH58" s="86">
        <v>3</v>
      </c>
      <c r="AI58" s="86">
        <v>0</v>
      </c>
      <c r="AJ58" s="86">
        <v>0</v>
      </c>
      <c r="AK58" s="86">
        <v>0</v>
      </c>
      <c r="AL58" s="86">
        <v>3</v>
      </c>
      <c r="AM58" s="2"/>
      <c r="AN58" s="2"/>
      <c r="AO58" s="2"/>
      <c r="AP58" s="86"/>
      <c r="AQ58" s="86"/>
      <c r="AR58" s="86"/>
      <c r="AS58" s="86"/>
      <c r="AT58" s="86"/>
      <c r="AU58" s="86"/>
      <c r="AV58" s="86"/>
      <c r="AW58" s="86"/>
      <c r="AX58" s="86"/>
      <c r="AY58" s="86"/>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row>
    <row r="59" spans="1:83" x14ac:dyDescent="0.45">
      <c r="A59" s="3" t="s">
        <v>15</v>
      </c>
      <c r="B59" s="17">
        <f t="shared" si="10"/>
        <v>0</v>
      </c>
      <c r="C59" s="17">
        <f t="shared" si="10"/>
        <v>0</v>
      </c>
      <c r="D59" s="17">
        <f t="shared" si="10"/>
        <v>0</v>
      </c>
      <c r="E59" s="17">
        <f t="shared" ref="E59:F64" si="13">SUM(E103+E146+E189+E232+E275+E318)</f>
        <v>0</v>
      </c>
      <c r="F59" s="17">
        <f t="shared" si="13"/>
        <v>0</v>
      </c>
      <c r="G59" s="17">
        <f t="shared" si="12"/>
        <v>0</v>
      </c>
      <c r="H59" s="17">
        <f t="shared" ref="H59:J64" si="14">SUM(H103+H146+H189+H232+H275+H318)</f>
        <v>0</v>
      </c>
      <c r="I59" s="17">
        <f t="shared" si="14"/>
        <v>0</v>
      </c>
      <c r="J59" s="17">
        <f t="shared" si="14"/>
        <v>2</v>
      </c>
      <c r="K59" s="17">
        <f t="shared" si="2"/>
        <v>2</v>
      </c>
      <c r="N59" s="73">
        <v>17</v>
      </c>
      <c r="O59" s="90" t="s">
        <v>40</v>
      </c>
      <c r="P59" s="86">
        <v>1</v>
      </c>
      <c r="Q59" s="86">
        <v>0</v>
      </c>
      <c r="R59" s="86">
        <v>1</v>
      </c>
      <c r="S59" s="86">
        <v>0</v>
      </c>
      <c r="T59" s="86">
        <v>0</v>
      </c>
      <c r="U59" s="86">
        <v>0</v>
      </c>
      <c r="V59" s="86">
        <v>0</v>
      </c>
      <c r="W59" s="86">
        <v>0</v>
      </c>
      <c r="X59" s="86">
        <v>0</v>
      </c>
      <c r="Y59" s="86">
        <v>2</v>
      </c>
      <c r="AA59" s="2"/>
      <c r="AB59" s="90" t="s">
        <v>48</v>
      </c>
      <c r="AC59" s="86">
        <v>0</v>
      </c>
      <c r="AD59" s="86">
        <v>0</v>
      </c>
      <c r="AE59" s="86">
        <v>0</v>
      </c>
      <c r="AF59" s="86">
        <v>0</v>
      </c>
      <c r="AG59" s="86">
        <v>2</v>
      </c>
      <c r="AH59" s="86">
        <v>0</v>
      </c>
      <c r="AI59" s="86">
        <v>0</v>
      </c>
      <c r="AJ59" s="86">
        <v>0</v>
      </c>
      <c r="AK59" s="86">
        <v>0</v>
      </c>
      <c r="AL59" s="86">
        <v>2</v>
      </c>
      <c r="AM59" s="2"/>
      <c r="AN59" s="2"/>
      <c r="AO59" s="2"/>
      <c r="AP59" s="86"/>
      <c r="AQ59" s="86"/>
      <c r="AR59" s="86"/>
      <c r="AS59" s="86"/>
      <c r="AT59" s="86"/>
      <c r="AU59" s="86"/>
      <c r="AV59" s="86"/>
      <c r="AW59" s="86"/>
      <c r="AX59" s="86"/>
      <c r="AY59" s="86"/>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row>
    <row r="60" spans="1:83" x14ac:dyDescent="0.45">
      <c r="A60" s="83" t="s">
        <v>54</v>
      </c>
      <c r="B60" s="17">
        <f t="shared" si="10"/>
        <v>0</v>
      </c>
      <c r="C60" s="17">
        <f t="shared" si="10"/>
        <v>0</v>
      </c>
      <c r="D60" s="17">
        <f t="shared" si="10"/>
        <v>0</v>
      </c>
      <c r="E60" s="17">
        <f t="shared" si="13"/>
        <v>0</v>
      </c>
      <c r="F60" s="17">
        <f t="shared" si="13"/>
        <v>0</v>
      </c>
      <c r="G60" s="17">
        <f>SUM(G104+G147+G190+G233+G276+G319)</f>
        <v>0</v>
      </c>
      <c r="H60" s="17">
        <f t="shared" si="14"/>
        <v>0</v>
      </c>
      <c r="I60" s="17">
        <f t="shared" si="14"/>
        <v>0</v>
      </c>
      <c r="J60" s="17">
        <f t="shared" si="14"/>
        <v>3</v>
      </c>
      <c r="K60" s="17">
        <f t="shared" si="2"/>
        <v>3</v>
      </c>
      <c r="N60" s="73">
        <v>18</v>
      </c>
      <c r="O60" s="90" t="s">
        <v>54</v>
      </c>
      <c r="P60" s="86">
        <v>0</v>
      </c>
      <c r="Q60" s="86">
        <v>0</v>
      </c>
      <c r="R60" s="86">
        <v>0</v>
      </c>
      <c r="S60" s="86">
        <v>0</v>
      </c>
      <c r="T60" s="86">
        <v>0</v>
      </c>
      <c r="U60" s="86">
        <v>0</v>
      </c>
      <c r="V60" s="86">
        <v>0</v>
      </c>
      <c r="W60" s="86">
        <v>0</v>
      </c>
      <c r="X60" s="86">
        <v>2</v>
      </c>
      <c r="Y60" s="86">
        <v>2</v>
      </c>
      <c r="AA60" s="2"/>
      <c r="AB60" s="90" t="s">
        <v>40</v>
      </c>
      <c r="AC60" s="86">
        <v>1</v>
      </c>
      <c r="AD60" s="86">
        <v>0</v>
      </c>
      <c r="AE60" s="86">
        <v>1</v>
      </c>
      <c r="AF60" s="86">
        <v>0</v>
      </c>
      <c r="AG60" s="86">
        <v>0</v>
      </c>
      <c r="AH60" s="86">
        <v>0</v>
      </c>
      <c r="AI60" s="86">
        <v>0</v>
      </c>
      <c r="AJ60" s="86">
        <v>0</v>
      </c>
      <c r="AK60" s="86">
        <v>0</v>
      </c>
      <c r="AL60" s="86">
        <v>2</v>
      </c>
      <c r="AM60" s="2"/>
      <c r="AN60" s="2"/>
      <c r="AO60" s="2"/>
      <c r="AP60" s="86"/>
      <c r="AQ60" s="86"/>
      <c r="AR60" s="86"/>
      <c r="AS60" s="86"/>
      <c r="AT60" s="86"/>
      <c r="AU60" s="86"/>
      <c r="AV60" s="86"/>
      <c r="AW60" s="86"/>
      <c r="AX60" s="86"/>
      <c r="AY60" s="86"/>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row>
    <row r="61" spans="1:83" x14ac:dyDescent="0.45">
      <c r="A61" s="83" t="s">
        <v>47</v>
      </c>
      <c r="B61" s="17">
        <f t="shared" si="10"/>
        <v>0</v>
      </c>
      <c r="C61" s="17">
        <f t="shared" si="10"/>
        <v>0</v>
      </c>
      <c r="D61" s="17">
        <f t="shared" si="10"/>
        <v>0</v>
      </c>
      <c r="E61" s="17">
        <f t="shared" si="13"/>
        <v>0</v>
      </c>
      <c r="F61" s="17">
        <f t="shared" si="13"/>
        <v>33</v>
      </c>
      <c r="G61" s="17">
        <f>SUM(G105+G148+G191+G234+G277+G320)</f>
        <v>53</v>
      </c>
      <c r="H61" s="17">
        <f t="shared" si="14"/>
        <v>68</v>
      </c>
      <c r="I61" s="17">
        <f t="shared" si="14"/>
        <v>22</v>
      </c>
      <c r="J61" s="17">
        <f t="shared" si="14"/>
        <v>0</v>
      </c>
      <c r="K61" s="17">
        <f t="shared" si="2"/>
        <v>176</v>
      </c>
      <c r="N61" s="73"/>
      <c r="O61" s="90" t="s">
        <v>47</v>
      </c>
      <c r="P61" s="86">
        <v>0</v>
      </c>
      <c r="Q61" s="86">
        <v>0</v>
      </c>
      <c r="R61" s="86">
        <v>0</v>
      </c>
      <c r="S61" s="86">
        <v>0</v>
      </c>
      <c r="T61" s="86">
        <v>33</v>
      </c>
      <c r="U61" s="86">
        <v>53</v>
      </c>
      <c r="V61" s="86">
        <v>57</v>
      </c>
      <c r="W61" s="86">
        <v>10</v>
      </c>
      <c r="X61" s="86">
        <v>0</v>
      </c>
      <c r="Y61" s="86">
        <v>153</v>
      </c>
      <c r="AA61" s="2"/>
      <c r="AB61" s="90" t="s">
        <v>54</v>
      </c>
      <c r="AC61" s="86">
        <v>0</v>
      </c>
      <c r="AD61" s="86">
        <v>0</v>
      </c>
      <c r="AE61" s="86">
        <v>0</v>
      </c>
      <c r="AF61" s="86">
        <v>0</v>
      </c>
      <c r="AG61" s="86">
        <v>0</v>
      </c>
      <c r="AH61" s="86">
        <v>0</v>
      </c>
      <c r="AI61" s="86">
        <v>0</v>
      </c>
      <c r="AJ61" s="86">
        <v>0</v>
      </c>
      <c r="AK61" s="86">
        <v>2</v>
      </c>
      <c r="AL61" s="86">
        <v>2</v>
      </c>
      <c r="AM61" s="2"/>
      <c r="AN61" s="2"/>
      <c r="AO61" s="2"/>
      <c r="AP61" s="86"/>
      <c r="AQ61" s="86"/>
      <c r="AR61" s="86"/>
      <c r="AS61" s="86"/>
      <c r="AT61" s="86"/>
      <c r="AU61" s="86"/>
      <c r="AV61" s="86"/>
      <c r="AW61" s="86"/>
      <c r="AX61" s="86"/>
      <c r="AY61" s="86"/>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row>
    <row r="62" spans="1:83" x14ac:dyDescent="0.45">
      <c r="A62" s="3" t="s">
        <v>16</v>
      </c>
      <c r="B62" s="17">
        <f t="shared" si="10"/>
        <v>0</v>
      </c>
      <c r="C62" s="17">
        <f t="shared" si="10"/>
        <v>0</v>
      </c>
      <c r="D62" s="17">
        <f t="shared" si="10"/>
        <v>1</v>
      </c>
      <c r="E62" s="17">
        <f t="shared" si="13"/>
        <v>0</v>
      </c>
      <c r="F62" s="17">
        <f t="shared" si="13"/>
        <v>0</v>
      </c>
      <c r="G62" s="17">
        <f>SUM(G106+G149+G192+G235+G278+G321)</f>
        <v>0</v>
      </c>
      <c r="H62" s="17">
        <f t="shared" si="14"/>
        <v>1</v>
      </c>
      <c r="I62" s="17">
        <f t="shared" si="14"/>
        <v>1</v>
      </c>
      <c r="J62" s="17">
        <f t="shared" si="14"/>
        <v>0</v>
      </c>
      <c r="K62" s="17">
        <f t="shared" si="2"/>
        <v>3</v>
      </c>
      <c r="N62" s="73">
        <v>19</v>
      </c>
      <c r="O62" s="90" t="s">
        <v>16</v>
      </c>
      <c r="P62" s="86">
        <v>0</v>
      </c>
      <c r="Q62" s="86">
        <v>0</v>
      </c>
      <c r="R62" s="86">
        <v>0</v>
      </c>
      <c r="S62" s="86">
        <v>0</v>
      </c>
      <c r="T62" s="86">
        <v>0</v>
      </c>
      <c r="U62" s="86">
        <v>0</v>
      </c>
      <c r="V62" s="86">
        <v>0</v>
      </c>
      <c r="W62" s="86">
        <v>1</v>
      </c>
      <c r="X62" s="86">
        <v>0</v>
      </c>
      <c r="Y62" s="86">
        <v>1</v>
      </c>
      <c r="AA62" s="2"/>
      <c r="AB62" s="90" t="s">
        <v>51</v>
      </c>
      <c r="AC62" s="86">
        <v>0</v>
      </c>
      <c r="AD62" s="86">
        <v>0</v>
      </c>
      <c r="AE62" s="86">
        <v>0</v>
      </c>
      <c r="AF62" s="86">
        <v>0</v>
      </c>
      <c r="AG62" s="86">
        <v>0</v>
      </c>
      <c r="AH62" s="86">
        <v>0</v>
      </c>
      <c r="AI62" s="86">
        <v>0</v>
      </c>
      <c r="AJ62" s="86">
        <v>1</v>
      </c>
      <c r="AK62" s="86">
        <v>0</v>
      </c>
      <c r="AL62" s="86">
        <v>1</v>
      </c>
      <c r="AM62" s="2"/>
      <c r="AN62" s="2"/>
      <c r="AO62" s="2"/>
      <c r="AP62" s="86"/>
      <c r="AQ62" s="86"/>
      <c r="AR62" s="86"/>
      <c r="AS62" s="86"/>
      <c r="AT62" s="86"/>
      <c r="AU62" s="86"/>
      <c r="AV62" s="86"/>
      <c r="AW62" s="86"/>
      <c r="AX62" s="86"/>
      <c r="AY62" s="86"/>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row>
    <row r="63" spans="1:83" x14ac:dyDescent="0.45">
      <c r="A63" s="83" t="s">
        <v>55</v>
      </c>
      <c r="B63" s="17">
        <f t="shared" si="10"/>
        <v>0</v>
      </c>
      <c r="C63" s="17">
        <f t="shared" si="10"/>
        <v>0</v>
      </c>
      <c r="D63" s="17">
        <f t="shared" si="10"/>
        <v>0</v>
      </c>
      <c r="E63" s="17">
        <f t="shared" si="13"/>
        <v>0</v>
      </c>
      <c r="F63" s="17">
        <f t="shared" si="13"/>
        <v>0</v>
      </c>
      <c r="G63" s="17">
        <f>SUM(G107+G150+G193+G236+G279+G322)</f>
        <v>0</v>
      </c>
      <c r="H63" s="17">
        <f t="shared" si="14"/>
        <v>0</v>
      </c>
      <c r="I63" s="17">
        <f t="shared" si="14"/>
        <v>0</v>
      </c>
      <c r="J63" s="17">
        <f t="shared" si="14"/>
        <v>0</v>
      </c>
      <c r="K63" s="17">
        <f t="shared" si="2"/>
        <v>0</v>
      </c>
      <c r="L63" s="17"/>
      <c r="N63" s="73">
        <v>20</v>
      </c>
      <c r="O63" s="90" t="s">
        <v>17</v>
      </c>
      <c r="P63" s="86">
        <v>0</v>
      </c>
      <c r="Q63" s="86">
        <v>0</v>
      </c>
      <c r="R63" s="86">
        <v>0</v>
      </c>
      <c r="S63" s="86">
        <v>0</v>
      </c>
      <c r="T63" s="86">
        <v>0</v>
      </c>
      <c r="U63" s="86">
        <v>0</v>
      </c>
      <c r="V63" s="86">
        <v>0</v>
      </c>
      <c r="W63" s="86">
        <v>12</v>
      </c>
      <c r="X63" s="86">
        <v>0</v>
      </c>
      <c r="Y63" s="86">
        <v>12</v>
      </c>
      <c r="AA63" s="2"/>
      <c r="AB63" s="90" t="s">
        <v>46</v>
      </c>
      <c r="AC63" s="86">
        <v>0</v>
      </c>
      <c r="AD63" s="86">
        <v>0</v>
      </c>
      <c r="AE63" s="86">
        <v>0</v>
      </c>
      <c r="AF63" s="86">
        <v>0</v>
      </c>
      <c r="AG63" s="86">
        <v>0</v>
      </c>
      <c r="AH63" s="86">
        <v>0</v>
      </c>
      <c r="AI63" s="86">
        <v>0</v>
      </c>
      <c r="AJ63" s="86">
        <v>1</v>
      </c>
      <c r="AK63" s="86">
        <v>0</v>
      </c>
      <c r="AL63" s="86">
        <v>1</v>
      </c>
      <c r="AM63" s="17"/>
      <c r="AN63" s="2"/>
      <c r="AO63" s="2"/>
      <c r="AP63" s="86"/>
      <c r="AQ63" s="86"/>
      <c r="AR63" s="86"/>
      <c r="AS63" s="86"/>
      <c r="AT63" s="86"/>
      <c r="AU63" s="86"/>
      <c r="AV63" s="86"/>
      <c r="AW63" s="86"/>
      <c r="AX63" s="86"/>
      <c r="AY63" s="86"/>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row>
    <row r="64" spans="1:83" x14ac:dyDescent="0.45">
      <c r="A64" s="78" t="s">
        <v>17</v>
      </c>
      <c r="B64" s="82">
        <f t="shared" si="10"/>
        <v>0</v>
      </c>
      <c r="C64" s="82">
        <f t="shared" si="10"/>
        <v>0</v>
      </c>
      <c r="D64" s="82">
        <f t="shared" si="10"/>
        <v>0</v>
      </c>
      <c r="E64" s="82">
        <f t="shared" si="13"/>
        <v>0</v>
      </c>
      <c r="F64" s="82">
        <f t="shared" si="13"/>
        <v>0</v>
      </c>
      <c r="G64" s="82">
        <f>SUM(G108+G151+G194+G237+G280+G323)</f>
        <v>1000</v>
      </c>
      <c r="H64" s="82">
        <f t="shared" si="14"/>
        <v>0</v>
      </c>
      <c r="I64" s="82">
        <f t="shared" si="14"/>
        <v>512</v>
      </c>
      <c r="J64" s="82">
        <f t="shared" si="14"/>
        <v>1001</v>
      </c>
      <c r="K64" s="82">
        <f t="shared" si="2"/>
        <v>2513</v>
      </c>
      <c r="L64" s="17"/>
      <c r="N64" s="73"/>
      <c r="O64" s="162" t="s">
        <v>24</v>
      </c>
      <c r="P64" s="159">
        <v>2</v>
      </c>
      <c r="Q64" s="160">
        <v>25</v>
      </c>
      <c r="R64" s="160">
        <v>76</v>
      </c>
      <c r="S64" s="160">
        <v>19</v>
      </c>
      <c r="T64" s="160">
        <v>732</v>
      </c>
      <c r="U64" s="160">
        <v>2422</v>
      </c>
      <c r="V64" s="160">
        <v>995</v>
      </c>
      <c r="W64" s="160">
        <v>617</v>
      </c>
      <c r="X64" s="160">
        <v>67</v>
      </c>
      <c r="Y64" s="160">
        <v>4955</v>
      </c>
      <c r="AA64" s="2"/>
      <c r="AB64" s="90" t="s">
        <v>16</v>
      </c>
      <c r="AC64" s="86">
        <v>0</v>
      </c>
      <c r="AD64" s="86">
        <v>0</v>
      </c>
      <c r="AE64" s="86">
        <v>0</v>
      </c>
      <c r="AF64" s="86">
        <v>0</v>
      </c>
      <c r="AG64" s="86">
        <v>0</v>
      </c>
      <c r="AH64" s="86">
        <v>0</v>
      </c>
      <c r="AI64" s="86">
        <v>0</v>
      </c>
      <c r="AJ64" s="86">
        <v>1</v>
      </c>
      <c r="AK64" s="86">
        <v>0</v>
      </c>
      <c r="AL64" s="86">
        <v>1</v>
      </c>
      <c r="AM64" s="2"/>
      <c r="AN64" s="2"/>
      <c r="AO64" s="2"/>
      <c r="AP64" s="86"/>
      <c r="AQ64" s="86"/>
      <c r="AR64" s="86"/>
      <c r="AS64" s="86"/>
      <c r="AT64" s="86"/>
      <c r="AU64" s="86"/>
      <c r="AV64" s="86"/>
      <c r="AW64" s="86"/>
      <c r="AX64" s="86"/>
      <c r="AY64" s="86"/>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row>
    <row r="65" spans="1:83" x14ac:dyDescent="0.45">
      <c r="A65" s="10" t="s">
        <v>24</v>
      </c>
      <c r="B65" s="86">
        <f>SUM(B30:B64)</f>
        <v>2</v>
      </c>
      <c r="C65" s="86">
        <f>SUM(C30:C64)</f>
        <v>40</v>
      </c>
      <c r="D65" s="86">
        <f t="shared" ref="D65:K65" si="15">SUM(D30:D64)</f>
        <v>89</v>
      </c>
      <c r="E65" s="86">
        <f t="shared" si="15"/>
        <v>65</v>
      </c>
      <c r="F65" s="86">
        <f t="shared" si="15"/>
        <v>769</v>
      </c>
      <c r="G65" s="86">
        <f t="shared" si="15"/>
        <v>3809</v>
      </c>
      <c r="H65" s="86">
        <f t="shared" si="15"/>
        <v>1521</v>
      </c>
      <c r="I65" s="86">
        <f t="shared" si="15"/>
        <v>1251</v>
      </c>
      <c r="J65" s="86">
        <f t="shared" si="15"/>
        <v>1077</v>
      </c>
      <c r="K65" s="86">
        <f t="shared" si="15"/>
        <v>8623</v>
      </c>
      <c r="L65" s="17">
        <f>SUM(B65:J65)</f>
        <v>8623</v>
      </c>
      <c r="N65" s="73"/>
      <c r="Y65" s="17"/>
      <c r="AA65" s="2"/>
      <c r="AB65" s="162" t="s">
        <v>24</v>
      </c>
      <c r="AC65" s="159">
        <v>2</v>
      </c>
      <c r="AD65" s="160">
        <v>25</v>
      </c>
      <c r="AE65" s="160">
        <v>76</v>
      </c>
      <c r="AF65" s="160">
        <v>19</v>
      </c>
      <c r="AG65" s="160">
        <v>732</v>
      </c>
      <c r="AH65" s="160">
        <v>2422</v>
      </c>
      <c r="AI65" s="160">
        <v>995</v>
      </c>
      <c r="AJ65" s="160">
        <v>617</v>
      </c>
      <c r="AK65" s="160">
        <v>67</v>
      </c>
      <c r="AL65" s="160">
        <v>4955</v>
      </c>
      <c r="AM65" s="2"/>
      <c r="AN65" s="2"/>
      <c r="AO65" s="2"/>
      <c r="AP65" s="86"/>
      <c r="AQ65" s="86"/>
      <c r="AR65" s="86"/>
      <c r="AS65" s="86"/>
      <c r="AT65" s="86"/>
      <c r="AU65" s="86"/>
      <c r="AV65" s="86"/>
      <c r="AW65" s="86"/>
      <c r="AX65" s="86"/>
      <c r="AY65" s="86"/>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row>
    <row r="66" spans="1:83" x14ac:dyDescent="0.45">
      <c r="A66" s="2"/>
      <c r="B66" s="17"/>
      <c r="C66" s="17"/>
      <c r="D66" s="17"/>
      <c r="E66" s="17"/>
      <c r="F66" s="17"/>
      <c r="G66" s="17"/>
      <c r="H66" s="17"/>
      <c r="I66" s="17"/>
      <c r="J66" s="17"/>
      <c r="K66" s="17"/>
      <c r="N66" s="73"/>
      <c r="AA66" s="2"/>
      <c r="AM66" s="17">
        <f>SUM(AC66:AK66)</f>
        <v>0</v>
      </c>
      <c r="AN66" s="2"/>
      <c r="AO66" s="2"/>
      <c r="AP66" s="86"/>
      <c r="AQ66" s="86"/>
      <c r="AR66" s="86"/>
      <c r="AS66" s="86"/>
      <c r="AT66" s="86"/>
      <c r="AU66" s="86"/>
      <c r="AV66" s="86"/>
      <c r="AW66" s="86"/>
      <c r="AX66" s="86"/>
      <c r="AY66" s="86"/>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row>
    <row r="67" spans="1:83" x14ac:dyDescent="0.45">
      <c r="N67" s="73"/>
      <c r="O67" s="1" t="s">
        <v>222</v>
      </c>
      <c r="P67" s="2"/>
      <c r="Q67" s="2"/>
      <c r="R67" s="2"/>
      <c r="S67" s="2"/>
      <c r="T67" s="2"/>
      <c r="U67" s="2"/>
      <c r="V67" s="2"/>
      <c r="W67" s="2"/>
      <c r="X67" s="2"/>
      <c r="AA67" s="2"/>
      <c r="AC67" s="21"/>
      <c r="AD67" s="21"/>
      <c r="AE67" s="21"/>
      <c r="AF67" s="21"/>
      <c r="AG67" s="21"/>
      <c r="AH67" s="21"/>
      <c r="AI67" s="21"/>
      <c r="AJ67" s="21"/>
      <c r="AK67" s="21"/>
      <c r="AN67" s="2"/>
      <c r="AO67" s="2"/>
      <c r="AP67" s="86"/>
      <c r="AQ67" s="86"/>
      <c r="AR67" s="86"/>
      <c r="AS67" s="86"/>
      <c r="AT67" s="86"/>
      <c r="AU67" s="86"/>
      <c r="AV67" s="86"/>
      <c r="AW67" s="86"/>
      <c r="AX67" s="86"/>
      <c r="AY67" s="86"/>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row>
    <row r="68" spans="1:83" x14ac:dyDescent="0.45">
      <c r="N68" s="73"/>
      <c r="O68" s="1" t="s">
        <v>27</v>
      </c>
      <c r="P68" s="2"/>
      <c r="Q68" s="2"/>
      <c r="R68" s="2"/>
      <c r="S68" s="2"/>
      <c r="T68" s="2"/>
      <c r="U68" s="2"/>
      <c r="V68" s="2"/>
      <c r="W68" s="2"/>
      <c r="X68" s="2"/>
      <c r="AA68" s="2"/>
      <c r="AB68" s="1" t="s">
        <v>222</v>
      </c>
      <c r="AC68" s="2"/>
      <c r="AD68" s="2"/>
      <c r="AE68" s="2"/>
      <c r="AF68" s="2"/>
      <c r="AG68" s="2"/>
      <c r="AH68" s="2"/>
      <c r="AI68" s="2"/>
      <c r="AJ68" s="2"/>
      <c r="AK68" s="2"/>
      <c r="AL68" s="2"/>
      <c r="AN68" s="2"/>
      <c r="AO68" s="2"/>
      <c r="AP68" s="2"/>
      <c r="AQ68" s="2"/>
      <c r="AR68" s="2"/>
      <c r="AS68" s="2"/>
      <c r="AT68" s="2"/>
      <c r="AU68" s="2"/>
      <c r="AV68" s="2"/>
      <c r="AW68" s="2"/>
      <c r="AX68" s="2"/>
      <c r="AY68" s="86"/>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row>
    <row r="69" spans="1:83" x14ac:dyDescent="0.45">
      <c r="A69" s="1" t="s">
        <v>225</v>
      </c>
      <c r="B69" s="1"/>
      <c r="N69" s="73"/>
      <c r="O69" s="2" t="s">
        <v>31</v>
      </c>
      <c r="P69" s="2"/>
      <c r="Q69" s="2"/>
      <c r="R69" s="2"/>
      <c r="S69" s="2"/>
      <c r="T69" s="2"/>
      <c r="U69" s="2"/>
      <c r="V69" s="2"/>
      <c r="W69" s="2"/>
      <c r="X69" s="2"/>
      <c r="AA69" s="2"/>
      <c r="AB69" s="1" t="s">
        <v>27</v>
      </c>
      <c r="AC69" s="2"/>
      <c r="AD69" s="2"/>
      <c r="AE69" s="2"/>
      <c r="AF69" s="2"/>
      <c r="AG69" s="2"/>
      <c r="AH69" s="2"/>
      <c r="AI69" s="2"/>
      <c r="AJ69" s="2"/>
      <c r="AK69" s="2"/>
      <c r="AL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17"/>
      <c r="BW69" s="2"/>
      <c r="BX69" s="2"/>
      <c r="BY69" s="2"/>
      <c r="BZ69" s="2"/>
      <c r="CA69" s="2"/>
      <c r="CB69" s="2"/>
      <c r="CC69" s="2"/>
    </row>
    <row r="70" spans="1:83" x14ac:dyDescent="0.45">
      <c r="A70" s="1" t="s">
        <v>22</v>
      </c>
      <c r="N70" s="73"/>
      <c r="O70" s="2"/>
      <c r="P70" s="1" t="s">
        <v>20</v>
      </c>
      <c r="Q70" s="180"/>
      <c r="R70" s="180"/>
      <c r="S70" s="180"/>
      <c r="T70" s="1" t="s">
        <v>21</v>
      </c>
      <c r="U70" s="180"/>
      <c r="V70" s="180"/>
      <c r="W70" s="180"/>
      <c r="X70" s="180"/>
      <c r="AA70" s="2"/>
      <c r="AB70" s="1" t="s">
        <v>64</v>
      </c>
      <c r="AC70" s="2"/>
      <c r="AD70" s="2"/>
      <c r="AE70" s="2"/>
      <c r="AF70" s="2"/>
      <c r="AG70" s="2"/>
      <c r="AH70" s="2"/>
      <c r="AI70" s="2"/>
      <c r="AJ70" s="2"/>
      <c r="AK70" s="2"/>
      <c r="AL70" s="2"/>
      <c r="AN70" s="2"/>
      <c r="AO70" s="2"/>
      <c r="AP70" s="86"/>
      <c r="AQ70" s="86"/>
      <c r="AR70" s="86"/>
      <c r="AS70" s="86"/>
      <c r="AT70" s="86"/>
      <c r="AU70" s="86"/>
      <c r="AV70" s="86"/>
      <c r="AW70" s="86"/>
      <c r="AX70" s="86"/>
      <c r="AY70" s="86"/>
      <c r="BI70" s="2"/>
      <c r="BJ70" s="2"/>
      <c r="BK70" s="2"/>
      <c r="BL70" s="2"/>
      <c r="BM70" s="2"/>
      <c r="BN70" s="2"/>
      <c r="BO70" s="2"/>
      <c r="BP70" s="2"/>
      <c r="BQ70" s="2"/>
      <c r="BR70" s="2"/>
      <c r="BS70" s="2"/>
      <c r="BT70" s="2"/>
      <c r="BU70" s="2"/>
      <c r="BV70" s="2"/>
      <c r="BW70" s="2"/>
      <c r="BX70" s="2"/>
      <c r="BY70" s="2"/>
      <c r="BZ70" s="2"/>
      <c r="CA70" s="2"/>
      <c r="CB70" s="2"/>
      <c r="CC70" s="2"/>
    </row>
    <row r="71" spans="1:83" x14ac:dyDescent="0.45">
      <c r="A71" s="2" t="s">
        <v>30</v>
      </c>
      <c r="N71" s="27" t="s">
        <v>141</v>
      </c>
      <c r="O71" s="26" t="s">
        <v>19</v>
      </c>
      <c r="P71" s="88">
        <v>13</v>
      </c>
      <c r="Q71" s="91">
        <v>18</v>
      </c>
      <c r="R71" s="91">
        <v>23</v>
      </c>
      <c r="S71" s="91">
        <v>28</v>
      </c>
      <c r="T71" s="91">
        <v>3</v>
      </c>
      <c r="U71" s="91">
        <v>8</v>
      </c>
      <c r="V71" s="91">
        <v>13</v>
      </c>
      <c r="W71" s="91">
        <v>18</v>
      </c>
      <c r="X71" s="91">
        <v>23</v>
      </c>
      <c r="Y71" s="8" t="s">
        <v>24</v>
      </c>
      <c r="AA71" s="2"/>
      <c r="AB71" s="2"/>
      <c r="AC71" s="1" t="s">
        <v>20</v>
      </c>
      <c r="AD71" s="180"/>
      <c r="AE71" s="180"/>
      <c r="AF71" s="180"/>
      <c r="AG71" s="1" t="s">
        <v>21</v>
      </c>
      <c r="AH71" s="180"/>
      <c r="AI71" s="180"/>
      <c r="AJ71" s="180"/>
      <c r="AK71" s="180"/>
      <c r="AL71" s="180"/>
      <c r="AN71" s="2"/>
      <c r="AO71" s="2"/>
      <c r="AP71" s="86"/>
      <c r="AQ71" s="86"/>
      <c r="AR71" s="86"/>
      <c r="AS71" s="86"/>
      <c r="AT71" s="86"/>
      <c r="AU71" s="86"/>
      <c r="AV71" s="86"/>
      <c r="AW71" s="86"/>
      <c r="AX71" s="86"/>
      <c r="AY71" s="86"/>
      <c r="BI71" s="2"/>
      <c r="BJ71" s="2"/>
      <c r="BK71" s="2"/>
      <c r="BL71" s="2"/>
      <c r="BM71" s="2"/>
      <c r="BN71" s="2"/>
      <c r="BO71" s="2"/>
      <c r="BP71" s="2"/>
      <c r="BQ71" s="2"/>
      <c r="BR71" s="2"/>
      <c r="BS71" s="2"/>
      <c r="BT71" s="2"/>
      <c r="BU71" s="2"/>
      <c r="BV71" s="2"/>
      <c r="BW71" s="2"/>
      <c r="BX71" s="2"/>
      <c r="BY71" s="2"/>
      <c r="BZ71" s="2"/>
      <c r="CA71" s="2"/>
      <c r="CB71" s="2"/>
      <c r="CC71" s="2"/>
    </row>
    <row r="72" spans="1:83" x14ac:dyDescent="0.45">
      <c r="B72" s="1" t="s">
        <v>20</v>
      </c>
      <c r="C72" s="180"/>
      <c r="D72" s="180"/>
      <c r="E72" s="180"/>
      <c r="F72" s="1" t="s">
        <v>21</v>
      </c>
      <c r="G72" s="180"/>
      <c r="H72" s="180"/>
      <c r="I72" s="180"/>
      <c r="J72" s="180"/>
      <c r="K72" s="180"/>
      <c r="M72" s="77"/>
      <c r="N72" s="73">
        <v>1</v>
      </c>
      <c r="O72" s="3" t="s">
        <v>1</v>
      </c>
      <c r="P72" s="180"/>
      <c r="Q72" s="180"/>
      <c r="R72" s="180"/>
      <c r="S72" s="180"/>
      <c r="T72" s="180">
        <v>1</v>
      </c>
      <c r="U72" s="180">
        <v>3</v>
      </c>
      <c r="V72" s="180">
        <v>3</v>
      </c>
      <c r="W72" s="180">
        <v>11</v>
      </c>
      <c r="X72" s="180"/>
      <c r="Y72" s="86">
        <f t="shared" ref="Y72" si="16">SUM(P72:X72)</f>
        <v>18</v>
      </c>
      <c r="AA72" s="2"/>
      <c r="AB72" s="26" t="s">
        <v>19</v>
      </c>
      <c r="AC72" s="88">
        <v>13</v>
      </c>
      <c r="AD72" s="91">
        <v>18</v>
      </c>
      <c r="AE72" s="91">
        <v>23</v>
      </c>
      <c r="AF72" s="91">
        <v>28</v>
      </c>
      <c r="AG72" s="91">
        <v>3</v>
      </c>
      <c r="AH72" s="91">
        <v>8</v>
      </c>
      <c r="AI72" s="91">
        <v>13</v>
      </c>
      <c r="AJ72" s="91">
        <v>18</v>
      </c>
      <c r="AK72" s="91">
        <v>23</v>
      </c>
      <c r="AL72" s="8" t="s">
        <v>24</v>
      </c>
      <c r="AN72" s="2"/>
      <c r="AO72" s="2"/>
      <c r="AP72" s="86"/>
      <c r="AQ72" s="86"/>
      <c r="AR72" s="86"/>
      <c r="AS72" s="86"/>
      <c r="AT72" s="86"/>
      <c r="AU72" s="86"/>
      <c r="AV72" s="86"/>
      <c r="AW72" s="86"/>
      <c r="AX72" s="86"/>
      <c r="AY72" s="86"/>
      <c r="BI72" s="2"/>
      <c r="BJ72" s="2"/>
      <c r="BK72" s="2"/>
      <c r="BL72" s="2"/>
      <c r="BM72" s="2"/>
      <c r="BN72" s="2"/>
      <c r="BO72" s="2"/>
      <c r="BP72" s="2"/>
      <c r="BQ72" s="2"/>
      <c r="BR72" s="2"/>
      <c r="BS72" s="2"/>
      <c r="BT72" s="2"/>
      <c r="BU72" s="2"/>
      <c r="BV72" s="2"/>
      <c r="BW72" s="2"/>
      <c r="BX72" s="2"/>
      <c r="BY72" s="2"/>
      <c r="BZ72" s="2"/>
      <c r="CA72" s="2"/>
      <c r="CB72" s="2"/>
      <c r="CC72" s="2"/>
    </row>
    <row r="73" spans="1:83" x14ac:dyDescent="0.45">
      <c r="A73" s="26" t="s">
        <v>19</v>
      </c>
      <c r="B73" s="88">
        <v>13</v>
      </c>
      <c r="C73" s="91">
        <v>18</v>
      </c>
      <c r="D73" s="91">
        <v>23</v>
      </c>
      <c r="E73" s="91">
        <v>28</v>
      </c>
      <c r="F73" s="91">
        <v>3</v>
      </c>
      <c r="G73" s="91">
        <v>8</v>
      </c>
      <c r="H73" s="91">
        <v>13</v>
      </c>
      <c r="I73" s="91">
        <v>18</v>
      </c>
      <c r="J73" s="91">
        <v>23</v>
      </c>
      <c r="K73" s="8" t="s">
        <v>24</v>
      </c>
      <c r="M73" s="17"/>
      <c r="N73" s="73">
        <v>2</v>
      </c>
      <c r="O73" s="83" t="s">
        <v>45</v>
      </c>
      <c r="P73" s="180"/>
      <c r="Q73" s="180"/>
      <c r="R73" s="180"/>
      <c r="S73" s="180"/>
      <c r="T73" s="180"/>
      <c r="U73" s="180"/>
      <c r="V73" s="180"/>
      <c r="W73" s="180">
        <v>2</v>
      </c>
      <c r="X73" s="180"/>
      <c r="Y73" s="86">
        <f t="shared" ref="Y73:Y85" si="17">SUM(P73:X73)</f>
        <v>2</v>
      </c>
      <c r="AA73" s="2"/>
      <c r="AB73" s="3" t="s">
        <v>11</v>
      </c>
      <c r="AC73" s="180"/>
      <c r="AD73" s="180"/>
      <c r="AE73" s="180"/>
      <c r="AF73" s="180"/>
      <c r="AG73" s="180"/>
      <c r="AH73" s="180">
        <v>4</v>
      </c>
      <c r="AI73" s="180">
        <v>200</v>
      </c>
      <c r="AJ73" s="180"/>
      <c r="AK73" s="180"/>
      <c r="AL73" s="86">
        <f t="shared" ref="AL73:AL86" si="18">SUM(AC73:AK73)</f>
        <v>204</v>
      </c>
      <c r="AN73" s="2"/>
      <c r="AO73" s="2"/>
      <c r="AP73" s="86"/>
      <c r="AQ73" s="86"/>
      <c r="AR73" s="86"/>
      <c r="AS73" s="86"/>
      <c r="AT73" s="86"/>
      <c r="AU73" s="86"/>
      <c r="AV73" s="86"/>
      <c r="AW73" s="86"/>
      <c r="AX73" s="86"/>
      <c r="AY73" s="86"/>
      <c r="BI73" s="2"/>
      <c r="BJ73" s="2"/>
      <c r="BK73" s="2"/>
      <c r="BL73" s="2"/>
      <c r="BM73" s="2"/>
      <c r="BN73" s="2"/>
      <c r="BO73" s="2"/>
      <c r="BP73" s="2"/>
      <c r="BQ73" s="2"/>
      <c r="BR73" s="2"/>
      <c r="BS73" s="2"/>
      <c r="BT73" s="2"/>
      <c r="BU73" s="2"/>
      <c r="BV73" s="2"/>
      <c r="BW73" s="2"/>
      <c r="BX73" s="2"/>
      <c r="BY73" s="2"/>
      <c r="BZ73" s="2"/>
      <c r="CA73" s="2"/>
      <c r="CB73" s="2"/>
      <c r="CC73" s="2"/>
    </row>
    <row r="74" spans="1:83" x14ac:dyDescent="0.45">
      <c r="A74" s="3" t="s">
        <v>1</v>
      </c>
      <c r="G74">
        <v>11</v>
      </c>
      <c r="H74">
        <v>13</v>
      </c>
      <c r="I74">
        <v>5</v>
      </c>
      <c r="J74">
        <v>6</v>
      </c>
      <c r="K74" s="86">
        <f>SUM(B74:J74)</f>
        <v>35</v>
      </c>
      <c r="M74" s="77"/>
      <c r="N74" s="73">
        <v>3</v>
      </c>
      <c r="O74" s="3" t="s">
        <v>3</v>
      </c>
      <c r="P74" s="180"/>
      <c r="Q74" s="180">
        <v>15</v>
      </c>
      <c r="R74" s="180">
        <v>10</v>
      </c>
      <c r="S74" s="180">
        <v>6</v>
      </c>
      <c r="T74" s="180">
        <v>2</v>
      </c>
      <c r="U74" s="180">
        <v>6</v>
      </c>
      <c r="V74" s="180"/>
      <c r="W74" s="180">
        <v>1</v>
      </c>
      <c r="X74" s="180">
        <v>2</v>
      </c>
      <c r="Y74" s="86">
        <f t="shared" si="17"/>
        <v>42</v>
      </c>
      <c r="AA74" s="2"/>
      <c r="AB74" s="3" t="s">
        <v>18</v>
      </c>
      <c r="AC74" s="180"/>
      <c r="AD74" s="180"/>
      <c r="AE74" s="180"/>
      <c r="AF74" s="180"/>
      <c r="AG74" s="180"/>
      <c r="AH74" s="180">
        <v>50</v>
      </c>
      <c r="AI74" s="180"/>
      <c r="AJ74" s="180">
        <v>36</v>
      </c>
      <c r="AK74" s="180"/>
      <c r="AL74" s="86">
        <f t="shared" si="18"/>
        <v>86</v>
      </c>
      <c r="AN74" s="2"/>
      <c r="AO74" s="2"/>
      <c r="AP74" s="86"/>
      <c r="AQ74" s="86"/>
      <c r="AR74" s="86"/>
      <c r="AS74" s="86"/>
      <c r="AT74" s="86"/>
      <c r="AU74" s="86"/>
      <c r="AV74" s="86"/>
      <c r="AW74" s="86"/>
      <c r="AX74" s="86"/>
      <c r="AY74" s="86"/>
      <c r="BI74" s="2"/>
      <c r="BJ74" s="2"/>
      <c r="BK74" s="2"/>
      <c r="BL74" s="2"/>
      <c r="BM74" s="2"/>
      <c r="BN74" s="2"/>
      <c r="BO74" s="2"/>
      <c r="BP74" s="2"/>
      <c r="BQ74" s="2"/>
      <c r="BR74" s="2"/>
      <c r="BS74" s="2"/>
      <c r="BT74" s="2"/>
      <c r="BU74" s="2"/>
      <c r="BV74" s="2"/>
      <c r="BW74" s="2"/>
      <c r="BX74" s="2"/>
      <c r="BY74" s="2"/>
      <c r="BZ74" s="2"/>
      <c r="CA74" s="2"/>
      <c r="CB74" s="2"/>
      <c r="CC74" s="2"/>
    </row>
    <row r="75" spans="1:83" x14ac:dyDescent="0.45">
      <c r="A75" s="16" t="s">
        <v>49</v>
      </c>
      <c r="K75" s="86">
        <f t="shared" ref="K75:K108" si="19">SUM(B75:J75)</f>
        <v>0</v>
      </c>
      <c r="M75" s="17"/>
      <c r="N75" s="73">
        <v>4</v>
      </c>
      <c r="O75" s="3" t="s">
        <v>7</v>
      </c>
      <c r="P75" s="180"/>
      <c r="Q75" s="180"/>
      <c r="R75" s="180"/>
      <c r="S75" s="180">
        <v>1</v>
      </c>
      <c r="T75" s="180">
        <v>17</v>
      </c>
      <c r="U75" s="180"/>
      <c r="V75" s="180">
        <v>3</v>
      </c>
      <c r="W75" s="180"/>
      <c r="X75" s="180"/>
      <c r="Y75" s="86">
        <f t="shared" si="17"/>
        <v>21</v>
      </c>
      <c r="AA75" s="2"/>
      <c r="AB75" s="3" t="s">
        <v>3</v>
      </c>
      <c r="AC75" s="180"/>
      <c r="AD75" s="180">
        <v>15</v>
      </c>
      <c r="AE75" s="180">
        <v>10</v>
      </c>
      <c r="AF75" s="180">
        <v>6</v>
      </c>
      <c r="AG75" s="180">
        <v>2</v>
      </c>
      <c r="AH75" s="180">
        <v>6</v>
      </c>
      <c r="AI75" s="180"/>
      <c r="AJ75" s="180">
        <v>1</v>
      </c>
      <c r="AK75" s="180">
        <v>2</v>
      </c>
      <c r="AL75" s="86">
        <f t="shared" si="18"/>
        <v>42</v>
      </c>
      <c r="AN75" s="2"/>
      <c r="AO75" s="2"/>
      <c r="AP75" s="86"/>
      <c r="AQ75" s="86"/>
      <c r="AR75" s="86"/>
      <c r="AS75" s="86"/>
      <c r="AT75" s="86"/>
      <c r="AU75" s="86"/>
      <c r="AV75" s="86"/>
      <c r="AW75" s="86"/>
      <c r="AX75" s="86"/>
      <c r="AY75" s="86"/>
      <c r="BI75" s="2"/>
      <c r="BJ75" s="2"/>
      <c r="BK75" s="2"/>
      <c r="BL75" s="2"/>
      <c r="BM75" s="2"/>
      <c r="BN75" s="2"/>
      <c r="BO75" s="2"/>
      <c r="BP75" s="2"/>
      <c r="BQ75" s="2"/>
      <c r="BR75" s="2"/>
      <c r="BS75" s="2"/>
      <c r="BT75" s="2"/>
      <c r="BU75" s="2"/>
      <c r="BV75" s="2"/>
      <c r="BW75" s="2"/>
      <c r="BX75" s="2"/>
      <c r="BY75" s="2"/>
      <c r="BZ75" s="2"/>
      <c r="CA75" s="2"/>
      <c r="CB75" s="2"/>
      <c r="CC75" s="2"/>
    </row>
    <row r="76" spans="1:83" x14ac:dyDescent="0.45">
      <c r="A76" s="16" t="s">
        <v>45</v>
      </c>
      <c r="K76" s="86">
        <f t="shared" si="19"/>
        <v>0</v>
      </c>
      <c r="N76" s="73">
        <v>5</v>
      </c>
      <c r="O76" s="83" t="s">
        <v>42</v>
      </c>
      <c r="P76" s="180"/>
      <c r="Q76" s="180"/>
      <c r="R76" s="180"/>
      <c r="S76" s="180"/>
      <c r="T76" s="180">
        <v>1</v>
      </c>
      <c r="U76" s="180"/>
      <c r="V76" s="180"/>
      <c r="W76" s="180"/>
      <c r="X76" s="180"/>
      <c r="Y76" s="86">
        <f t="shared" si="17"/>
        <v>1</v>
      </c>
      <c r="AA76" s="2"/>
      <c r="AB76" s="83" t="s">
        <v>47</v>
      </c>
      <c r="AC76" s="180"/>
      <c r="AD76" s="180"/>
      <c r="AE76" s="180"/>
      <c r="AF76" s="180"/>
      <c r="AG76" s="180"/>
      <c r="AH76" s="180"/>
      <c r="AI76" s="180">
        <v>11</v>
      </c>
      <c r="AJ76" s="180">
        <v>12</v>
      </c>
      <c r="AK76" s="180"/>
      <c r="AL76" s="86">
        <f t="shared" si="18"/>
        <v>23</v>
      </c>
      <c r="AN76" s="2"/>
      <c r="AO76" s="2"/>
      <c r="AP76" s="86"/>
      <c r="AQ76" s="86"/>
      <c r="AR76" s="86"/>
      <c r="AS76" s="86"/>
      <c r="AT76" s="86"/>
      <c r="AU76" s="86"/>
      <c r="AV76" s="86"/>
      <c r="AW76" s="86"/>
      <c r="AX76" s="86"/>
      <c r="AY76" s="86"/>
      <c r="BI76" s="2"/>
      <c r="BJ76" s="2"/>
      <c r="BK76" s="2"/>
      <c r="BL76" s="2"/>
      <c r="BM76" s="2"/>
      <c r="BN76" s="2"/>
      <c r="BO76" s="2"/>
      <c r="BP76" s="2"/>
      <c r="BQ76" s="2"/>
      <c r="BR76" s="2"/>
      <c r="BS76" s="2"/>
      <c r="BT76" s="2"/>
      <c r="BU76" s="2"/>
      <c r="BV76" s="2"/>
      <c r="BW76" s="2"/>
      <c r="BX76" s="2"/>
      <c r="BY76" s="2"/>
      <c r="BZ76" s="2"/>
      <c r="CA76" s="2"/>
      <c r="CB76" s="2"/>
      <c r="CC76" s="2"/>
    </row>
    <row r="77" spans="1:83" x14ac:dyDescent="0.45">
      <c r="A77" s="16" t="s">
        <v>41</v>
      </c>
      <c r="F77">
        <v>5</v>
      </c>
      <c r="K77" s="86">
        <f t="shared" si="19"/>
        <v>5</v>
      </c>
      <c r="N77" s="73">
        <v>6</v>
      </c>
      <c r="O77" s="3" t="s">
        <v>11</v>
      </c>
      <c r="P77" s="180"/>
      <c r="Q77" s="180"/>
      <c r="R77" s="180"/>
      <c r="S77" s="180"/>
      <c r="T77" s="180"/>
      <c r="U77" s="180">
        <v>4</v>
      </c>
      <c r="V77" s="180">
        <v>200</v>
      </c>
      <c r="W77" s="180"/>
      <c r="X77" s="180"/>
      <c r="Y77" s="86">
        <f t="shared" si="17"/>
        <v>204</v>
      </c>
      <c r="AA77" s="2"/>
      <c r="AB77" s="3" t="s">
        <v>7</v>
      </c>
      <c r="AC77" s="180"/>
      <c r="AD77" s="180"/>
      <c r="AE77" s="180"/>
      <c r="AF77" s="180">
        <v>1</v>
      </c>
      <c r="AG77" s="180">
        <v>17</v>
      </c>
      <c r="AH77" s="180"/>
      <c r="AI77" s="180">
        <v>3</v>
      </c>
      <c r="AJ77" s="180"/>
      <c r="AK77" s="180"/>
      <c r="AL77" s="86">
        <f t="shared" si="18"/>
        <v>21</v>
      </c>
      <c r="AN77" s="2"/>
      <c r="AO77" s="2"/>
      <c r="AP77" s="86"/>
      <c r="AQ77" s="86"/>
      <c r="AR77" s="86"/>
      <c r="AS77" s="86"/>
      <c r="AT77" s="86"/>
      <c r="AU77" s="86"/>
      <c r="AV77" s="86"/>
      <c r="AW77" s="86"/>
      <c r="AX77" s="86"/>
      <c r="AY77" s="86"/>
      <c r="BI77" s="2"/>
      <c r="BJ77" s="2"/>
      <c r="BK77" s="2"/>
      <c r="BL77" s="2"/>
      <c r="BM77" s="2"/>
      <c r="BN77" s="2"/>
      <c r="BO77" s="2"/>
      <c r="BP77" s="2"/>
      <c r="BQ77" s="2"/>
      <c r="BR77" s="2"/>
      <c r="BS77" s="2"/>
      <c r="BT77" s="2"/>
      <c r="BU77" s="2"/>
      <c r="BV77" s="2"/>
      <c r="BW77" s="2"/>
      <c r="BX77" s="2"/>
      <c r="BY77" s="2"/>
      <c r="BZ77" s="2"/>
      <c r="CA77" s="2"/>
      <c r="CB77" s="2"/>
      <c r="CC77" s="2"/>
    </row>
    <row r="78" spans="1:83" x14ac:dyDescent="0.45">
      <c r="A78" s="3" t="s">
        <v>2</v>
      </c>
      <c r="D78">
        <v>1</v>
      </c>
      <c r="E78">
        <v>5</v>
      </c>
      <c r="F78">
        <v>7</v>
      </c>
      <c r="G78">
        <v>11</v>
      </c>
      <c r="K78" s="86">
        <f t="shared" si="19"/>
        <v>24</v>
      </c>
      <c r="N78" s="73">
        <v>7</v>
      </c>
      <c r="O78" s="3" t="s">
        <v>12</v>
      </c>
      <c r="P78" s="180"/>
      <c r="Q78" s="180"/>
      <c r="R78" s="180"/>
      <c r="S78" s="180"/>
      <c r="T78" s="180">
        <v>16</v>
      </c>
      <c r="U78" s="180"/>
      <c r="V78" s="180"/>
      <c r="W78" s="180"/>
      <c r="X78" s="180"/>
      <c r="Y78" s="86">
        <f t="shared" si="17"/>
        <v>16</v>
      </c>
      <c r="AA78" s="2"/>
      <c r="AB78" s="3" t="s">
        <v>1</v>
      </c>
      <c r="AC78" s="180"/>
      <c r="AD78" s="180"/>
      <c r="AE78" s="180"/>
      <c r="AF78" s="180"/>
      <c r="AG78" s="180">
        <v>1</v>
      </c>
      <c r="AH78" s="180">
        <v>3</v>
      </c>
      <c r="AI78" s="180">
        <v>3</v>
      </c>
      <c r="AJ78" s="180">
        <v>11</v>
      </c>
      <c r="AK78" s="180"/>
      <c r="AL78" s="86">
        <f t="shared" si="18"/>
        <v>18</v>
      </c>
      <c r="AN78" s="2"/>
      <c r="AO78" s="2"/>
      <c r="AP78" s="86"/>
      <c r="AQ78" s="86"/>
      <c r="AR78" s="86"/>
      <c r="AS78" s="86"/>
      <c r="AT78" s="86"/>
      <c r="AU78" s="86"/>
      <c r="AV78" s="86"/>
      <c r="AW78" s="86"/>
      <c r="AX78" s="86"/>
      <c r="AY78" s="86"/>
      <c r="BI78" s="2"/>
      <c r="BJ78" s="2"/>
      <c r="BK78" s="2"/>
      <c r="BL78" s="2"/>
      <c r="BM78" s="2"/>
      <c r="BN78" s="2"/>
      <c r="BO78" s="2"/>
      <c r="BP78" s="2"/>
      <c r="BQ78" s="2"/>
      <c r="BR78" s="2"/>
      <c r="BS78" s="2"/>
      <c r="BT78" s="2"/>
      <c r="BU78" s="2"/>
      <c r="BV78" s="2"/>
      <c r="BW78" s="2"/>
      <c r="BX78" s="2"/>
      <c r="BY78" s="2"/>
      <c r="BZ78" s="2"/>
      <c r="CA78" s="2"/>
      <c r="CB78" s="2"/>
      <c r="CC78" s="2"/>
    </row>
    <row r="79" spans="1:83" s="2" customFormat="1" x14ac:dyDescent="0.45">
      <c r="A79" s="16" t="s">
        <v>43</v>
      </c>
      <c r="B79"/>
      <c r="C79"/>
      <c r="D79"/>
      <c r="E79"/>
      <c r="F79"/>
      <c r="G79"/>
      <c r="H79"/>
      <c r="I79"/>
      <c r="J79"/>
      <c r="K79" s="86">
        <f t="shared" si="19"/>
        <v>0</v>
      </c>
      <c r="L79"/>
      <c r="N79" s="73"/>
      <c r="O79" s="3" t="s">
        <v>18</v>
      </c>
      <c r="P79" s="180"/>
      <c r="Q79" s="180"/>
      <c r="R79" s="180"/>
      <c r="S79" s="180"/>
      <c r="T79" s="180"/>
      <c r="U79" s="180">
        <v>50</v>
      </c>
      <c r="V79" s="180"/>
      <c r="W79" s="180">
        <v>36</v>
      </c>
      <c r="X79" s="180"/>
      <c r="Y79" s="86">
        <f t="shared" si="17"/>
        <v>86</v>
      </c>
      <c r="Z79"/>
      <c r="AB79" s="3" t="s">
        <v>12</v>
      </c>
      <c r="AC79" s="180"/>
      <c r="AD79" s="180"/>
      <c r="AE79" s="180"/>
      <c r="AF79" s="180"/>
      <c r="AG79" s="180">
        <v>16</v>
      </c>
      <c r="AH79" s="180"/>
      <c r="AI79" s="180"/>
      <c r="AJ79" s="180"/>
      <c r="AK79" s="180"/>
      <c r="AL79" s="86">
        <f t="shared" si="18"/>
        <v>16</v>
      </c>
      <c r="AM79"/>
      <c r="AP79" s="86"/>
      <c r="AQ79" s="86"/>
      <c r="AR79" s="86"/>
      <c r="AS79" s="86"/>
      <c r="AT79" s="86"/>
      <c r="AU79" s="86"/>
      <c r="AV79" s="86"/>
      <c r="AW79" s="86"/>
      <c r="AX79" s="86"/>
      <c r="AY79" s="86"/>
      <c r="AZ79"/>
      <c r="BA79"/>
      <c r="BB79"/>
      <c r="BC79"/>
      <c r="BD79"/>
      <c r="BE79"/>
      <c r="BF79"/>
      <c r="BG79"/>
      <c r="BH79"/>
    </row>
    <row r="80" spans="1:83" x14ac:dyDescent="0.45">
      <c r="A80" s="3" t="s">
        <v>3</v>
      </c>
      <c r="D80">
        <v>13</v>
      </c>
      <c r="E80">
        <v>1</v>
      </c>
      <c r="G80">
        <v>1</v>
      </c>
      <c r="K80" s="86">
        <f t="shared" si="19"/>
        <v>15</v>
      </c>
      <c r="N80" s="73">
        <v>8</v>
      </c>
      <c r="O80" s="3" t="s">
        <v>14</v>
      </c>
      <c r="P80" s="180"/>
      <c r="Q80" s="180"/>
      <c r="R80" s="180"/>
      <c r="S80" s="180"/>
      <c r="T80" s="180"/>
      <c r="U80" s="180"/>
      <c r="V80" s="180">
        <v>1</v>
      </c>
      <c r="W80" s="180"/>
      <c r="X80" s="180"/>
      <c r="Y80" s="86">
        <f t="shared" si="17"/>
        <v>1</v>
      </c>
      <c r="AA80" s="2"/>
      <c r="AB80" s="83" t="s">
        <v>45</v>
      </c>
      <c r="AC80" s="180"/>
      <c r="AD80" s="180"/>
      <c r="AE80" s="180"/>
      <c r="AF80" s="180"/>
      <c r="AG80" s="180"/>
      <c r="AH80" s="180"/>
      <c r="AI80" s="180"/>
      <c r="AJ80" s="180">
        <v>2</v>
      </c>
      <c r="AK80" s="180"/>
      <c r="AL80" s="86">
        <f t="shared" si="18"/>
        <v>2</v>
      </c>
      <c r="AN80" s="2"/>
      <c r="AO80" s="2"/>
      <c r="AP80" s="86"/>
      <c r="AQ80" s="86"/>
      <c r="AR80" s="86"/>
      <c r="AS80" s="86"/>
      <c r="AT80" s="86"/>
      <c r="AU80" s="86"/>
      <c r="AV80" s="86"/>
      <c r="AW80" s="86"/>
      <c r="AX80" s="86"/>
      <c r="AY80" s="86"/>
      <c r="BI80" s="2"/>
      <c r="BJ80" s="2"/>
      <c r="BK80" s="2"/>
      <c r="BL80" s="2"/>
      <c r="BM80" s="2"/>
      <c r="BN80" s="2"/>
      <c r="BO80" s="2"/>
      <c r="BP80" s="2"/>
      <c r="BQ80" s="2"/>
      <c r="BR80" s="2"/>
      <c r="BS80" s="2"/>
      <c r="BT80" s="2"/>
      <c r="BU80" s="2"/>
      <c r="BV80" s="2"/>
      <c r="BW80" s="2"/>
      <c r="BX80" s="2"/>
      <c r="BY80" s="2"/>
      <c r="BZ80" s="2"/>
      <c r="CA80" s="2"/>
      <c r="CB80" s="2"/>
      <c r="CC80" s="2"/>
    </row>
    <row r="81" spans="1:81" x14ac:dyDescent="0.45">
      <c r="A81" s="3" t="s">
        <v>4</v>
      </c>
      <c r="K81" s="86">
        <f t="shared" si="19"/>
        <v>0</v>
      </c>
      <c r="N81" s="73">
        <v>9</v>
      </c>
      <c r="O81" s="3" t="s">
        <v>15</v>
      </c>
      <c r="P81" s="180"/>
      <c r="Q81" s="180"/>
      <c r="R81" s="180"/>
      <c r="S81" s="180"/>
      <c r="T81" s="180"/>
      <c r="U81" s="180"/>
      <c r="V81" s="180"/>
      <c r="W81" s="180"/>
      <c r="X81" s="180">
        <v>2</v>
      </c>
      <c r="Y81" s="86">
        <f t="shared" si="17"/>
        <v>2</v>
      </c>
      <c r="AB81" s="3" t="s">
        <v>15</v>
      </c>
      <c r="AC81" s="180"/>
      <c r="AD81" s="180"/>
      <c r="AE81" s="180"/>
      <c r="AF81" s="180"/>
      <c r="AG81" s="180"/>
      <c r="AH81" s="180"/>
      <c r="AI81" s="180"/>
      <c r="AJ81" s="180"/>
      <c r="AK81" s="180">
        <v>2</v>
      </c>
      <c r="AL81" s="86">
        <f t="shared" si="18"/>
        <v>2</v>
      </c>
      <c r="AN81" s="2"/>
      <c r="AO81" s="2"/>
      <c r="AP81" s="86"/>
      <c r="AQ81" s="86"/>
      <c r="AR81" s="86"/>
      <c r="AS81" s="86"/>
      <c r="AT81" s="86"/>
      <c r="AU81" s="86"/>
      <c r="AV81" s="86"/>
      <c r="AW81" s="86"/>
      <c r="AX81" s="86"/>
      <c r="AY81" s="86"/>
      <c r="BI81" s="2"/>
      <c r="BJ81" s="2"/>
      <c r="BK81" s="2"/>
      <c r="BL81" s="2"/>
      <c r="BM81" s="2"/>
      <c r="BN81" s="2"/>
      <c r="BO81" s="2"/>
      <c r="BP81" s="2"/>
      <c r="BQ81" s="2"/>
      <c r="BR81" s="2"/>
      <c r="BS81" s="2"/>
      <c r="BT81" s="2"/>
      <c r="BU81" s="2"/>
      <c r="BV81" s="2"/>
      <c r="BW81" s="2"/>
      <c r="BX81" s="2"/>
      <c r="BY81" s="2"/>
      <c r="BZ81" s="2"/>
      <c r="CA81" s="2"/>
      <c r="CB81" s="2"/>
      <c r="CC81" s="2"/>
    </row>
    <row r="82" spans="1:81" x14ac:dyDescent="0.45">
      <c r="A82" s="16" t="s">
        <v>48</v>
      </c>
      <c r="K82" s="86">
        <f t="shared" si="19"/>
        <v>0</v>
      </c>
      <c r="N82" s="73">
        <v>10</v>
      </c>
      <c r="O82" s="83" t="s">
        <v>54</v>
      </c>
      <c r="P82" s="180"/>
      <c r="Q82" s="180"/>
      <c r="R82" s="180"/>
      <c r="S82" s="180"/>
      <c r="T82" s="180"/>
      <c r="U82" s="180"/>
      <c r="V82" s="180"/>
      <c r="W82" s="180"/>
      <c r="X82" s="180">
        <v>1</v>
      </c>
      <c r="Y82" s="86">
        <f t="shared" si="17"/>
        <v>1</v>
      </c>
      <c r="AB82" s="3" t="s">
        <v>16</v>
      </c>
      <c r="AC82" s="180"/>
      <c r="AD82" s="180"/>
      <c r="AE82" s="180">
        <v>1</v>
      </c>
      <c r="AF82" s="180"/>
      <c r="AG82" s="180"/>
      <c r="AH82" s="180"/>
      <c r="AI82" s="180">
        <v>1</v>
      </c>
      <c r="AJ82" s="180"/>
      <c r="AK82" s="180"/>
      <c r="AL82" s="86">
        <f t="shared" si="18"/>
        <v>2</v>
      </c>
      <c r="AN82" s="2"/>
      <c r="AO82" s="2"/>
      <c r="AP82" s="86"/>
      <c r="AQ82" s="86"/>
      <c r="AR82" s="86"/>
      <c r="AS82" s="86"/>
      <c r="AT82" s="86"/>
      <c r="AU82" s="86"/>
      <c r="AV82" s="86"/>
      <c r="AW82" s="86"/>
      <c r="AX82" s="86"/>
      <c r="AY82" s="86"/>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row>
    <row r="83" spans="1:81" x14ac:dyDescent="0.45">
      <c r="A83" s="3" t="s">
        <v>6</v>
      </c>
      <c r="K83" s="86">
        <f t="shared" si="19"/>
        <v>0</v>
      </c>
      <c r="N83" s="73"/>
      <c r="O83" s="83" t="s">
        <v>47</v>
      </c>
      <c r="P83" s="180"/>
      <c r="Q83" s="180"/>
      <c r="R83" s="180"/>
      <c r="S83" s="180"/>
      <c r="T83" s="180"/>
      <c r="U83" s="180"/>
      <c r="V83" s="180">
        <v>11</v>
      </c>
      <c r="W83" s="180">
        <v>12</v>
      </c>
      <c r="X83" s="180"/>
      <c r="Y83" s="86">
        <f t="shared" si="17"/>
        <v>23</v>
      </c>
      <c r="AB83" s="83" t="s">
        <v>42</v>
      </c>
      <c r="AC83" s="180"/>
      <c r="AD83" s="180"/>
      <c r="AE83" s="180"/>
      <c r="AF83" s="180"/>
      <c r="AG83" s="180">
        <v>1</v>
      </c>
      <c r="AH83" s="180"/>
      <c r="AI83" s="180"/>
      <c r="AJ83" s="180"/>
      <c r="AK83" s="180"/>
      <c r="AL83" s="86">
        <f t="shared" si="18"/>
        <v>1</v>
      </c>
      <c r="AM83" s="17"/>
      <c r="AN83" s="2"/>
      <c r="AO83" s="2"/>
      <c r="AP83" s="86"/>
      <c r="AQ83" s="86"/>
      <c r="AR83" s="86"/>
      <c r="AS83" s="86"/>
      <c r="AT83" s="86"/>
      <c r="AU83" s="86"/>
      <c r="AV83" s="86"/>
      <c r="AW83" s="86"/>
      <c r="AX83" s="86"/>
      <c r="AY83" s="86"/>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row>
    <row r="84" spans="1:81" x14ac:dyDescent="0.45">
      <c r="A84" s="3" t="s">
        <v>7</v>
      </c>
      <c r="K84" s="86">
        <f t="shared" si="19"/>
        <v>0</v>
      </c>
      <c r="N84" s="73">
        <v>11</v>
      </c>
      <c r="O84" s="3" t="s">
        <v>16</v>
      </c>
      <c r="P84" s="180"/>
      <c r="Q84" s="180"/>
      <c r="R84" s="180">
        <v>1</v>
      </c>
      <c r="S84" s="180"/>
      <c r="T84" s="180"/>
      <c r="U84" s="180"/>
      <c r="V84" s="180">
        <v>1</v>
      </c>
      <c r="W84" s="180"/>
      <c r="X84" s="180"/>
      <c r="Y84" s="86">
        <f t="shared" si="17"/>
        <v>2</v>
      </c>
      <c r="AB84" s="3" t="s">
        <v>14</v>
      </c>
      <c r="AC84" s="180"/>
      <c r="AD84" s="180"/>
      <c r="AE84" s="180"/>
      <c r="AF84" s="180"/>
      <c r="AG84" s="180"/>
      <c r="AH84" s="180"/>
      <c r="AI84" s="180">
        <v>1</v>
      </c>
      <c r="AJ84" s="180"/>
      <c r="AK84" s="180"/>
      <c r="AL84" s="86">
        <f t="shared" si="18"/>
        <v>1</v>
      </c>
      <c r="AM84" s="77"/>
      <c r="AN84" s="2"/>
      <c r="AO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row>
    <row r="85" spans="1:81" x14ac:dyDescent="0.45">
      <c r="A85" s="101" t="s">
        <v>83</v>
      </c>
      <c r="K85" s="86">
        <f t="shared" si="19"/>
        <v>0</v>
      </c>
      <c r="N85" s="73">
        <v>12</v>
      </c>
      <c r="O85" s="78" t="s">
        <v>17</v>
      </c>
      <c r="P85" s="180"/>
      <c r="Q85" s="180"/>
      <c r="R85" s="180"/>
      <c r="S85" s="180"/>
      <c r="T85" s="180"/>
      <c r="U85" s="180"/>
      <c r="V85" s="180"/>
      <c r="W85" s="180"/>
      <c r="X85" s="180">
        <v>1</v>
      </c>
      <c r="Y85" s="86">
        <f t="shared" si="17"/>
        <v>1</v>
      </c>
      <c r="AA85" s="2"/>
      <c r="AB85" s="83" t="s">
        <v>54</v>
      </c>
      <c r="AC85" s="180"/>
      <c r="AD85" s="180"/>
      <c r="AE85" s="180"/>
      <c r="AF85" s="180"/>
      <c r="AG85" s="180"/>
      <c r="AH85" s="180"/>
      <c r="AI85" s="180"/>
      <c r="AJ85" s="180"/>
      <c r="AK85" s="180">
        <v>1</v>
      </c>
      <c r="AL85" s="86">
        <f t="shared" si="18"/>
        <v>1</v>
      </c>
      <c r="AN85" s="2"/>
      <c r="AO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row>
    <row r="86" spans="1:81" x14ac:dyDescent="0.45">
      <c r="A86" s="16" t="s">
        <v>50</v>
      </c>
      <c r="K86" s="86">
        <f t="shared" si="19"/>
        <v>0</v>
      </c>
      <c r="N86" s="73"/>
      <c r="O86" s="178" t="s">
        <v>24</v>
      </c>
      <c r="P86" s="159">
        <f t="shared" ref="P86:Y86" si="20">SUM(P72:P85)</f>
        <v>0</v>
      </c>
      <c r="Q86" s="160">
        <f t="shared" si="20"/>
        <v>15</v>
      </c>
      <c r="R86" s="160">
        <f t="shared" si="20"/>
        <v>11</v>
      </c>
      <c r="S86" s="160">
        <f t="shared" si="20"/>
        <v>7</v>
      </c>
      <c r="T86" s="160">
        <f t="shared" si="20"/>
        <v>37</v>
      </c>
      <c r="U86" s="160">
        <f t="shared" si="20"/>
        <v>63</v>
      </c>
      <c r="V86" s="160">
        <f t="shared" si="20"/>
        <v>219</v>
      </c>
      <c r="W86" s="160">
        <f t="shared" si="20"/>
        <v>62</v>
      </c>
      <c r="X86" s="160">
        <f t="shared" si="20"/>
        <v>6</v>
      </c>
      <c r="Y86" s="160">
        <f t="shared" si="20"/>
        <v>420</v>
      </c>
      <c r="Z86" s="17"/>
      <c r="AA86" s="2"/>
      <c r="AB86" s="78" t="s">
        <v>17</v>
      </c>
      <c r="AC86" s="180"/>
      <c r="AD86" s="180"/>
      <c r="AE86" s="180"/>
      <c r="AF86" s="180"/>
      <c r="AG86" s="180"/>
      <c r="AH86" s="180"/>
      <c r="AI86" s="180"/>
      <c r="AJ86" s="180"/>
      <c r="AK86" s="180">
        <v>1</v>
      </c>
      <c r="AL86" s="86">
        <f t="shared" si="18"/>
        <v>1</v>
      </c>
      <c r="AN86" s="2"/>
      <c r="AO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row>
    <row r="87" spans="1:81" x14ac:dyDescent="0.45">
      <c r="A87" s="16" t="s">
        <v>51</v>
      </c>
      <c r="K87" s="86">
        <f t="shared" si="19"/>
        <v>0</v>
      </c>
      <c r="N87" s="73"/>
      <c r="P87" s="180"/>
      <c r="Q87" s="180"/>
      <c r="R87" s="180"/>
      <c r="S87" s="180"/>
      <c r="T87" s="180"/>
      <c r="U87" s="180"/>
      <c r="V87" s="180"/>
      <c r="W87" s="180"/>
      <c r="X87" s="180"/>
      <c r="Y87" s="86"/>
      <c r="AA87" s="2"/>
      <c r="AB87" s="178" t="s">
        <v>24</v>
      </c>
      <c r="AC87" s="159">
        <f t="shared" ref="AC87:AL87" si="21">SUM(AC73:AC86)</f>
        <v>0</v>
      </c>
      <c r="AD87" s="160">
        <f t="shared" si="21"/>
        <v>15</v>
      </c>
      <c r="AE87" s="160">
        <f t="shared" si="21"/>
        <v>11</v>
      </c>
      <c r="AF87" s="160">
        <f t="shared" si="21"/>
        <v>7</v>
      </c>
      <c r="AG87" s="160">
        <f t="shared" si="21"/>
        <v>37</v>
      </c>
      <c r="AH87" s="160">
        <f t="shared" si="21"/>
        <v>63</v>
      </c>
      <c r="AI87" s="160">
        <f t="shared" si="21"/>
        <v>219</v>
      </c>
      <c r="AJ87" s="160">
        <f t="shared" si="21"/>
        <v>62</v>
      </c>
      <c r="AK87" s="160">
        <f t="shared" si="21"/>
        <v>6</v>
      </c>
      <c r="AL87" s="160">
        <f t="shared" si="21"/>
        <v>420</v>
      </c>
      <c r="AN87" s="2"/>
      <c r="AO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row>
    <row r="88" spans="1:81" x14ac:dyDescent="0.45">
      <c r="A88" s="16" t="s">
        <v>42</v>
      </c>
      <c r="G88">
        <v>3</v>
      </c>
      <c r="K88" s="86">
        <f t="shared" si="19"/>
        <v>3</v>
      </c>
      <c r="N88" s="73"/>
      <c r="P88" s="180"/>
      <c r="Q88" s="180"/>
      <c r="R88" s="180"/>
      <c r="S88" s="180"/>
      <c r="T88" s="180"/>
      <c r="U88" s="180"/>
      <c r="V88" s="180"/>
      <c r="W88" s="180"/>
      <c r="X88" s="180"/>
      <c r="Y88" s="86"/>
      <c r="AA88" s="2"/>
      <c r="AN88" s="2"/>
      <c r="AO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row>
    <row r="89" spans="1:81" x14ac:dyDescent="0.45">
      <c r="A89" s="3" t="s">
        <v>8</v>
      </c>
      <c r="K89" s="86">
        <f t="shared" si="19"/>
        <v>0</v>
      </c>
      <c r="N89" s="73"/>
      <c r="O89" s="1" t="s">
        <v>222</v>
      </c>
      <c r="P89" s="1"/>
      <c r="AA89" s="2"/>
      <c r="AN89" s="2"/>
      <c r="AO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row>
    <row r="90" spans="1:81" x14ac:dyDescent="0.45">
      <c r="A90" s="3" t="s">
        <v>9</v>
      </c>
      <c r="K90" s="86">
        <f t="shared" si="19"/>
        <v>0</v>
      </c>
      <c r="N90" s="73"/>
      <c r="O90" s="1" t="s">
        <v>247</v>
      </c>
      <c r="AA90" s="2"/>
      <c r="AB90" s="1" t="s">
        <v>225</v>
      </c>
      <c r="AC90" s="2"/>
      <c r="AD90" s="2"/>
      <c r="AE90" s="2"/>
      <c r="AF90" s="2"/>
      <c r="AG90" s="2"/>
      <c r="AH90" s="2"/>
      <c r="AI90" s="2"/>
      <c r="AJ90" s="2"/>
      <c r="AK90" s="2"/>
      <c r="AL90" s="2"/>
      <c r="AN90" s="2"/>
      <c r="AO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row>
    <row r="91" spans="1:81" x14ac:dyDescent="0.45">
      <c r="A91" s="16" t="s">
        <v>44</v>
      </c>
      <c r="K91" s="86">
        <f t="shared" si="19"/>
        <v>0</v>
      </c>
      <c r="N91" s="73"/>
      <c r="O91" t="s">
        <v>31</v>
      </c>
      <c r="AA91" s="2"/>
      <c r="AB91" s="1" t="s">
        <v>28</v>
      </c>
      <c r="AC91" s="2"/>
      <c r="AD91" s="2"/>
      <c r="AE91" s="2"/>
      <c r="AF91" s="2"/>
      <c r="AG91" s="2"/>
      <c r="AH91" s="2"/>
      <c r="AI91" s="2"/>
      <c r="AJ91" s="2"/>
      <c r="AK91" s="2"/>
      <c r="AL91" s="2"/>
      <c r="AN91" s="2"/>
      <c r="AO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row>
    <row r="92" spans="1:81" s="2" customFormat="1" x14ac:dyDescent="0.45">
      <c r="A92" s="3" t="s">
        <v>10</v>
      </c>
      <c r="B92"/>
      <c r="C92"/>
      <c r="D92"/>
      <c r="E92"/>
      <c r="F92"/>
      <c r="G92"/>
      <c r="H92"/>
      <c r="I92"/>
      <c r="J92"/>
      <c r="K92" s="86">
        <f t="shared" si="19"/>
        <v>0</v>
      </c>
      <c r="L92"/>
      <c r="N92" s="73"/>
      <c r="O92" s="180"/>
      <c r="P92" s="1" t="s">
        <v>20</v>
      </c>
      <c r="Q92" s="180"/>
      <c r="R92" s="180"/>
      <c r="S92" s="180"/>
      <c r="T92" s="1" t="s">
        <v>21</v>
      </c>
      <c r="U92" s="180"/>
      <c r="V92" s="180"/>
      <c r="W92" s="180"/>
      <c r="X92" s="180"/>
      <c r="Y92" s="180"/>
      <c r="Z92"/>
      <c r="AB92" s="1" t="s">
        <v>64</v>
      </c>
      <c r="AM92"/>
    </row>
    <row r="93" spans="1:81" x14ac:dyDescent="0.45">
      <c r="A93" s="3" t="s">
        <v>11</v>
      </c>
      <c r="F93">
        <v>93</v>
      </c>
      <c r="G93">
        <v>1032</v>
      </c>
      <c r="H93">
        <v>101</v>
      </c>
      <c r="I93">
        <v>83</v>
      </c>
      <c r="J93">
        <v>3</v>
      </c>
      <c r="K93" s="86">
        <f t="shared" si="19"/>
        <v>1312</v>
      </c>
      <c r="N93" s="73"/>
      <c r="O93" s="26" t="s">
        <v>19</v>
      </c>
      <c r="P93" s="88">
        <v>13</v>
      </c>
      <c r="Q93" s="91">
        <v>18</v>
      </c>
      <c r="R93" s="91">
        <v>23</v>
      </c>
      <c r="S93" s="91">
        <v>28</v>
      </c>
      <c r="T93" s="91">
        <v>3</v>
      </c>
      <c r="U93" s="91">
        <v>8</v>
      </c>
      <c r="V93" s="91">
        <v>13</v>
      </c>
      <c r="W93" s="91">
        <v>18</v>
      </c>
      <c r="X93" s="91">
        <v>23</v>
      </c>
      <c r="Y93" s="8" t="s">
        <v>24</v>
      </c>
      <c r="AA93" s="2"/>
      <c r="AB93" s="2"/>
      <c r="AC93" s="1" t="s">
        <v>20</v>
      </c>
      <c r="AD93" s="180"/>
      <c r="AE93" s="180"/>
      <c r="AF93" s="180"/>
      <c r="AG93" s="1" t="s">
        <v>21</v>
      </c>
      <c r="AH93" s="180"/>
      <c r="AI93" s="180"/>
      <c r="AJ93" s="180"/>
      <c r="AK93" s="180"/>
      <c r="AL93" s="180"/>
      <c r="AN93" s="2"/>
      <c r="AO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row>
    <row r="94" spans="1:81" x14ac:dyDescent="0.45">
      <c r="A94" s="3" t="s">
        <v>12</v>
      </c>
      <c r="G94">
        <v>1</v>
      </c>
      <c r="H94">
        <v>2</v>
      </c>
      <c r="K94" s="86">
        <f t="shared" si="19"/>
        <v>3</v>
      </c>
      <c r="N94" s="73">
        <v>1</v>
      </c>
      <c r="O94" s="83" t="s">
        <v>43</v>
      </c>
      <c r="P94" s="86"/>
      <c r="Q94" s="86"/>
      <c r="R94" s="86">
        <v>2</v>
      </c>
      <c r="S94" s="86">
        <v>3</v>
      </c>
      <c r="T94" s="86"/>
      <c r="U94" s="86">
        <v>4</v>
      </c>
      <c r="V94" s="86">
        <v>4</v>
      </c>
      <c r="W94" s="86">
        <v>5</v>
      </c>
      <c r="X94" s="86">
        <v>4</v>
      </c>
      <c r="Y94" s="86">
        <f t="shared" ref="Y94:Y99" si="22">SUM(P94:X94)</f>
        <v>22</v>
      </c>
      <c r="AA94" s="2"/>
      <c r="AB94" s="26" t="s">
        <v>19</v>
      </c>
      <c r="AC94" s="88">
        <v>13</v>
      </c>
      <c r="AD94" s="91">
        <v>18</v>
      </c>
      <c r="AE94" s="91">
        <v>23</v>
      </c>
      <c r="AF94" s="91">
        <v>28</v>
      </c>
      <c r="AG94" s="91">
        <v>3</v>
      </c>
      <c r="AH94" s="91">
        <v>8</v>
      </c>
      <c r="AI94" s="91">
        <v>13</v>
      </c>
      <c r="AJ94" s="91">
        <v>18</v>
      </c>
      <c r="AK94" s="91">
        <v>23</v>
      </c>
      <c r="AL94" s="8" t="s">
        <v>24</v>
      </c>
      <c r="AN94" s="2"/>
      <c r="AO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row>
    <row r="95" spans="1:81" s="2" customFormat="1" x14ac:dyDescent="0.45">
      <c r="A95" s="13" t="s">
        <v>32</v>
      </c>
      <c r="B95"/>
      <c r="C95"/>
      <c r="D95"/>
      <c r="E95"/>
      <c r="F95"/>
      <c r="G95"/>
      <c r="H95"/>
      <c r="I95"/>
      <c r="J95"/>
      <c r="K95" s="86">
        <f t="shared" si="19"/>
        <v>0</v>
      </c>
      <c r="L95"/>
      <c r="N95" s="73">
        <v>2</v>
      </c>
      <c r="O95" s="3" t="s">
        <v>8</v>
      </c>
      <c r="P95" s="86"/>
      <c r="Q95" s="86"/>
      <c r="R95" s="86"/>
      <c r="S95" s="86"/>
      <c r="T95" s="86"/>
      <c r="U95" s="86"/>
      <c r="V95" s="86">
        <v>3</v>
      </c>
      <c r="W95" s="86">
        <v>2</v>
      </c>
      <c r="X95" s="86"/>
      <c r="Y95" s="86">
        <f t="shared" si="22"/>
        <v>5</v>
      </c>
      <c r="Z95"/>
      <c r="AB95" s="135" t="s">
        <v>17</v>
      </c>
      <c r="AC95" s="86"/>
      <c r="AD95" s="86"/>
      <c r="AE95" s="86"/>
      <c r="AF95" s="86"/>
      <c r="AG95" s="86"/>
      <c r="AH95" s="86">
        <v>1000</v>
      </c>
      <c r="AI95" s="86"/>
      <c r="AJ95" s="86">
        <v>500</v>
      </c>
      <c r="AK95" s="86">
        <v>1000</v>
      </c>
      <c r="AL95" s="86">
        <f t="shared" ref="AL95:AL100" si="23">SUM(AC95:AK95)</f>
        <v>2500</v>
      </c>
      <c r="AM95"/>
    </row>
    <row r="96" spans="1:81" s="2" customFormat="1" x14ac:dyDescent="0.45">
      <c r="A96" s="3" t="s">
        <v>18</v>
      </c>
      <c r="B96"/>
      <c r="C96"/>
      <c r="D96"/>
      <c r="E96"/>
      <c r="F96"/>
      <c r="G96"/>
      <c r="H96"/>
      <c r="I96"/>
      <c r="J96"/>
      <c r="K96" s="86">
        <f t="shared" si="19"/>
        <v>0</v>
      </c>
      <c r="L96"/>
      <c r="N96" s="73">
        <v>3</v>
      </c>
      <c r="O96" s="3" t="s">
        <v>9</v>
      </c>
      <c r="P96" s="86"/>
      <c r="Q96" s="86"/>
      <c r="R96" s="86"/>
      <c r="S96" s="86">
        <v>36</v>
      </c>
      <c r="T96" s="86"/>
      <c r="U96" s="86">
        <v>320</v>
      </c>
      <c r="V96" s="86">
        <v>300</v>
      </c>
      <c r="W96" s="86">
        <v>61</v>
      </c>
      <c r="X96" s="86"/>
      <c r="Y96" s="86">
        <f t="shared" si="22"/>
        <v>717</v>
      </c>
      <c r="Z96"/>
      <c r="AB96" s="3" t="s">
        <v>9</v>
      </c>
      <c r="AC96" s="86"/>
      <c r="AD96" s="86"/>
      <c r="AE96" s="86"/>
      <c r="AF96" s="86">
        <v>36</v>
      </c>
      <c r="AG96" s="86"/>
      <c r="AH96" s="86">
        <v>320</v>
      </c>
      <c r="AI96" s="86">
        <v>300</v>
      </c>
      <c r="AJ96" s="86">
        <v>61</v>
      </c>
      <c r="AK96" s="86"/>
      <c r="AL96" s="86">
        <f t="shared" si="23"/>
        <v>717</v>
      </c>
      <c r="AM96"/>
    </row>
    <row r="97" spans="1:81" x14ac:dyDescent="0.45">
      <c r="A97" s="16" t="s">
        <v>46</v>
      </c>
      <c r="K97" s="86">
        <f t="shared" si="19"/>
        <v>0</v>
      </c>
      <c r="N97" s="73">
        <v>4</v>
      </c>
      <c r="O97" s="3" t="s">
        <v>10</v>
      </c>
      <c r="P97" s="86"/>
      <c r="Q97" s="86"/>
      <c r="R97" s="86"/>
      <c r="S97" s="86"/>
      <c r="T97" s="86"/>
      <c r="U97" s="86"/>
      <c r="V97" s="86"/>
      <c r="W97" s="86">
        <v>3</v>
      </c>
      <c r="X97" s="86"/>
      <c r="Y97" s="86">
        <f t="shared" si="22"/>
        <v>3</v>
      </c>
      <c r="AA97" s="2"/>
      <c r="AB97" s="83" t="s">
        <v>43</v>
      </c>
      <c r="AC97" s="86"/>
      <c r="AD97" s="86"/>
      <c r="AE97" s="86">
        <v>2</v>
      </c>
      <c r="AF97" s="86">
        <v>3</v>
      </c>
      <c r="AG97" s="86"/>
      <c r="AH97" s="86">
        <v>4</v>
      </c>
      <c r="AI97" s="86">
        <v>4</v>
      </c>
      <c r="AJ97" s="86">
        <v>5</v>
      </c>
      <c r="AK97" s="86">
        <v>4</v>
      </c>
      <c r="AL97" s="86">
        <f t="shared" si="23"/>
        <v>22</v>
      </c>
      <c r="AN97" s="2"/>
      <c r="AO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row>
    <row r="98" spans="1:81" x14ac:dyDescent="0.45">
      <c r="A98" s="3" t="s">
        <v>13</v>
      </c>
      <c r="K98" s="86">
        <f t="shared" si="19"/>
        <v>0</v>
      </c>
      <c r="N98" s="73">
        <v>5</v>
      </c>
      <c r="O98" s="83" t="s">
        <v>40</v>
      </c>
      <c r="P98" s="86"/>
      <c r="Q98" s="86"/>
      <c r="R98" s="86"/>
      <c r="S98" s="86"/>
      <c r="T98" s="86"/>
      <c r="U98" s="86"/>
      <c r="V98" s="86"/>
      <c r="W98" s="86">
        <v>1</v>
      </c>
      <c r="X98" s="86"/>
      <c r="Y98" s="86">
        <f t="shared" si="22"/>
        <v>1</v>
      </c>
      <c r="AA98" s="2"/>
      <c r="AB98" s="3" t="s">
        <v>8</v>
      </c>
      <c r="AC98" s="86"/>
      <c r="AD98" s="86"/>
      <c r="AE98" s="86"/>
      <c r="AF98" s="86"/>
      <c r="AG98" s="86"/>
      <c r="AH98" s="86"/>
      <c r="AI98" s="86">
        <v>3</v>
      </c>
      <c r="AJ98" s="86">
        <v>2</v>
      </c>
      <c r="AK98" s="86"/>
      <c r="AL98" s="86">
        <f t="shared" si="23"/>
        <v>5</v>
      </c>
      <c r="AN98" s="2"/>
      <c r="AO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row>
    <row r="99" spans="1:81" x14ac:dyDescent="0.45">
      <c r="A99" s="3" t="s">
        <v>14</v>
      </c>
      <c r="F99">
        <v>76</v>
      </c>
      <c r="G99">
        <v>200</v>
      </c>
      <c r="H99">
        <v>33</v>
      </c>
      <c r="K99" s="86">
        <f t="shared" si="19"/>
        <v>309</v>
      </c>
      <c r="N99" s="73">
        <v>6</v>
      </c>
      <c r="O99" s="78" t="s">
        <v>17</v>
      </c>
      <c r="P99" s="86"/>
      <c r="Q99" s="86"/>
      <c r="R99" s="86"/>
      <c r="S99" s="86"/>
      <c r="T99" s="86"/>
      <c r="U99" s="86">
        <v>1000</v>
      </c>
      <c r="V99" s="86"/>
      <c r="W99" s="86">
        <v>500</v>
      </c>
      <c r="X99" s="86">
        <v>1000</v>
      </c>
      <c r="Y99" s="86">
        <f t="shared" si="22"/>
        <v>2500</v>
      </c>
      <c r="AA99" s="2"/>
      <c r="AB99" s="3" t="s">
        <v>10</v>
      </c>
      <c r="AC99" s="86"/>
      <c r="AD99" s="86"/>
      <c r="AE99" s="86"/>
      <c r="AF99" s="86"/>
      <c r="AG99" s="86"/>
      <c r="AH99" s="86"/>
      <c r="AI99" s="86"/>
      <c r="AJ99" s="86">
        <v>3</v>
      </c>
      <c r="AK99" s="86"/>
      <c r="AL99" s="86">
        <f t="shared" si="23"/>
        <v>3</v>
      </c>
      <c r="AN99" s="2"/>
      <c r="AO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row>
    <row r="100" spans="1:81" x14ac:dyDescent="0.45">
      <c r="A100" s="16" t="s">
        <v>40</v>
      </c>
      <c r="K100" s="86">
        <f t="shared" si="19"/>
        <v>0</v>
      </c>
      <c r="N100" s="73"/>
      <c r="O100" s="178" t="s">
        <v>24</v>
      </c>
      <c r="P100" s="159">
        <f t="shared" ref="P100:Y100" si="24">SUM(P94:P99)</f>
        <v>0</v>
      </c>
      <c r="Q100" s="160">
        <f t="shared" si="24"/>
        <v>0</v>
      </c>
      <c r="R100" s="160">
        <f t="shared" si="24"/>
        <v>2</v>
      </c>
      <c r="S100" s="160">
        <f t="shared" si="24"/>
        <v>39</v>
      </c>
      <c r="T100" s="160">
        <f t="shared" si="24"/>
        <v>0</v>
      </c>
      <c r="U100" s="160">
        <f t="shared" si="24"/>
        <v>1324</v>
      </c>
      <c r="V100" s="160">
        <f t="shared" si="24"/>
        <v>307</v>
      </c>
      <c r="W100" s="160">
        <f t="shared" si="24"/>
        <v>572</v>
      </c>
      <c r="X100" s="160">
        <f t="shared" si="24"/>
        <v>1004</v>
      </c>
      <c r="Y100" s="160">
        <f t="shared" si="24"/>
        <v>3248</v>
      </c>
      <c r="AA100" s="2"/>
      <c r="AB100" s="175" t="s">
        <v>40</v>
      </c>
      <c r="AC100" s="86"/>
      <c r="AD100" s="86"/>
      <c r="AE100" s="86"/>
      <c r="AF100" s="86"/>
      <c r="AG100" s="86"/>
      <c r="AH100" s="86"/>
      <c r="AI100" s="86"/>
      <c r="AJ100" s="86">
        <v>1</v>
      </c>
      <c r="AK100" s="86"/>
      <c r="AL100" s="86">
        <f t="shared" si="23"/>
        <v>1</v>
      </c>
      <c r="AN100" s="2"/>
      <c r="AO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row>
    <row r="101" spans="1:81" x14ac:dyDescent="0.45">
      <c r="A101" s="16" t="s">
        <v>52</v>
      </c>
      <c r="K101" s="86">
        <f t="shared" si="19"/>
        <v>0</v>
      </c>
      <c r="N101" s="73"/>
      <c r="Z101" s="17"/>
      <c r="AA101" s="2"/>
      <c r="AB101" s="178" t="s">
        <v>24</v>
      </c>
      <c r="AC101" s="159">
        <f t="shared" ref="AC101:AL101" si="25">SUM(AC95:AC100)</f>
        <v>0</v>
      </c>
      <c r="AD101" s="160">
        <f t="shared" si="25"/>
        <v>0</v>
      </c>
      <c r="AE101" s="160">
        <f t="shared" si="25"/>
        <v>2</v>
      </c>
      <c r="AF101" s="160">
        <f t="shared" si="25"/>
        <v>39</v>
      </c>
      <c r="AG101" s="160">
        <f t="shared" si="25"/>
        <v>0</v>
      </c>
      <c r="AH101" s="160">
        <f t="shared" si="25"/>
        <v>1324</v>
      </c>
      <c r="AI101" s="160">
        <f t="shared" si="25"/>
        <v>307</v>
      </c>
      <c r="AJ101" s="160">
        <f t="shared" si="25"/>
        <v>572</v>
      </c>
      <c r="AK101" s="160">
        <f t="shared" si="25"/>
        <v>1004</v>
      </c>
      <c r="AL101" s="160">
        <f t="shared" si="25"/>
        <v>3248</v>
      </c>
      <c r="AN101" s="2"/>
      <c r="AO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row>
    <row r="102" spans="1:81" x14ac:dyDescent="0.45">
      <c r="A102" s="16" t="s">
        <v>53</v>
      </c>
      <c r="K102" s="86">
        <f t="shared" si="19"/>
        <v>0</v>
      </c>
      <c r="N102" s="73"/>
      <c r="Q102" s="180"/>
      <c r="R102" s="180"/>
      <c r="S102" s="180"/>
      <c r="T102" s="180"/>
      <c r="U102" s="180"/>
      <c r="V102" s="180"/>
      <c r="W102" s="180"/>
      <c r="X102" s="180"/>
      <c r="Y102" s="86"/>
      <c r="Z102" s="17"/>
      <c r="AA102" s="2"/>
      <c r="AN102" s="2"/>
      <c r="AO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row>
    <row r="103" spans="1:81" x14ac:dyDescent="0.45">
      <c r="A103" s="3" t="s">
        <v>15</v>
      </c>
      <c r="K103" s="86">
        <f t="shared" si="19"/>
        <v>0</v>
      </c>
      <c r="N103" s="73"/>
      <c r="Q103" s="180"/>
      <c r="R103" s="180"/>
      <c r="S103" s="180"/>
      <c r="T103" s="180"/>
      <c r="U103" s="180"/>
      <c r="V103" s="180"/>
      <c r="W103" s="180"/>
      <c r="X103" s="180"/>
      <c r="Y103" s="86"/>
      <c r="AA103" s="17"/>
      <c r="AN103" s="2"/>
      <c r="AO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row>
    <row r="104" spans="1:81" x14ac:dyDescent="0.45">
      <c r="A104" s="16" t="s">
        <v>54</v>
      </c>
      <c r="K104" s="86">
        <f t="shared" si="19"/>
        <v>0</v>
      </c>
      <c r="N104" s="73"/>
      <c r="Q104" s="180"/>
      <c r="R104" s="180"/>
      <c r="S104" s="180"/>
      <c r="T104" s="180"/>
      <c r="U104" s="180"/>
      <c r="V104" s="180"/>
      <c r="W104" s="180"/>
      <c r="X104" s="180"/>
      <c r="Y104" s="86"/>
      <c r="AA104" s="2"/>
      <c r="AN104" s="2"/>
      <c r="AO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row>
    <row r="105" spans="1:81" x14ac:dyDescent="0.45">
      <c r="A105" s="16" t="s">
        <v>47</v>
      </c>
      <c r="F105">
        <v>16</v>
      </c>
      <c r="G105">
        <v>21</v>
      </c>
      <c r="H105">
        <v>28</v>
      </c>
      <c r="K105" s="86">
        <f t="shared" si="19"/>
        <v>65</v>
      </c>
      <c r="N105" s="73"/>
      <c r="Q105" s="180"/>
      <c r="R105" s="180"/>
      <c r="S105" s="180"/>
      <c r="T105" s="180"/>
      <c r="U105" s="180"/>
      <c r="V105" s="180"/>
      <c r="W105" s="180"/>
      <c r="X105" s="180"/>
      <c r="Y105" s="86"/>
      <c r="AA105" s="2"/>
      <c r="AN105" s="2"/>
      <c r="AO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row>
    <row r="106" spans="1:81" x14ac:dyDescent="0.45">
      <c r="A106" s="3" t="s">
        <v>16</v>
      </c>
      <c r="K106" s="86">
        <f t="shared" si="19"/>
        <v>0</v>
      </c>
      <c r="N106" s="73"/>
      <c r="Q106" s="180"/>
      <c r="R106" s="180"/>
      <c r="S106" s="180"/>
      <c r="T106" s="180"/>
      <c r="U106" s="180"/>
      <c r="V106" s="180"/>
      <c r="W106" s="180"/>
      <c r="X106" s="180"/>
      <c r="Y106" s="86"/>
      <c r="AA106" s="2"/>
      <c r="AN106" s="2"/>
      <c r="AO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row>
    <row r="107" spans="1:81" x14ac:dyDescent="0.45">
      <c r="A107" s="16" t="s">
        <v>55</v>
      </c>
      <c r="K107" s="86">
        <f t="shared" si="19"/>
        <v>0</v>
      </c>
      <c r="N107" s="73"/>
      <c r="Q107" s="180"/>
      <c r="R107" s="180"/>
      <c r="S107" s="180"/>
      <c r="T107" s="180"/>
      <c r="U107" s="180"/>
      <c r="V107" s="180"/>
      <c r="W107" s="180"/>
      <c r="X107" s="180"/>
      <c r="Y107" s="86"/>
      <c r="AA107" s="2"/>
      <c r="AN107" s="2"/>
      <c r="AO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row>
    <row r="108" spans="1:81" x14ac:dyDescent="0.45">
      <c r="A108" s="78" t="s">
        <v>17</v>
      </c>
      <c r="K108" s="86">
        <f t="shared" si="19"/>
        <v>0</v>
      </c>
      <c r="N108" s="73"/>
      <c r="Q108" s="180"/>
      <c r="R108" s="180"/>
      <c r="S108" s="180"/>
      <c r="T108" s="180"/>
      <c r="U108" s="180"/>
      <c r="V108" s="180"/>
      <c r="W108" s="180"/>
      <c r="X108" s="180"/>
      <c r="Y108" s="86"/>
      <c r="Z108" s="2"/>
      <c r="AA108" s="2"/>
      <c r="AN108" s="2"/>
      <c r="AO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row>
    <row r="109" spans="1:81" x14ac:dyDescent="0.45">
      <c r="A109" s="178" t="s">
        <v>24</v>
      </c>
      <c r="B109" s="160">
        <f>SUM(B74:B108)</f>
        <v>0</v>
      </c>
      <c r="C109" s="160">
        <f t="shared" ref="C109:K109" si="26">SUM(C74:C108)</f>
        <v>0</v>
      </c>
      <c r="D109" s="160">
        <f t="shared" si="26"/>
        <v>14</v>
      </c>
      <c r="E109" s="160">
        <f t="shared" si="26"/>
        <v>6</v>
      </c>
      <c r="F109" s="160">
        <f t="shared" si="26"/>
        <v>197</v>
      </c>
      <c r="G109" s="160">
        <f t="shared" si="26"/>
        <v>1280</v>
      </c>
      <c r="H109" s="160">
        <f t="shared" si="26"/>
        <v>177</v>
      </c>
      <c r="I109" s="160">
        <f t="shared" si="26"/>
        <v>88</v>
      </c>
      <c r="J109" s="160">
        <f t="shared" si="26"/>
        <v>9</v>
      </c>
      <c r="K109" s="160">
        <f t="shared" si="26"/>
        <v>1771</v>
      </c>
      <c r="L109" s="17">
        <f>SUM(B109:J109)</f>
        <v>1771</v>
      </c>
      <c r="M109" s="77"/>
      <c r="N109" s="73"/>
      <c r="AA109" s="2"/>
      <c r="AN109" s="2"/>
      <c r="AO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row>
    <row r="110" spans="1:81" x14ac:dyDescent="0.45">
      <c r="B110" s="2"/>
      <c r="C110" s="2"/>
      <c r="D110" s="17"/>
      <c r="E110" s="2"/>
      <c r="F110" s="2"/>
      <c r="G110" s="2"/>
      <c r="H110" s="2"/>
      <c r="I110" s="2"/>
      <c r="J110" s="2"/>
      <c r="K110" s="17"/>
      <c r="L110" s="2"/>
      <c r="N110" s="73"/>
      <c r="AA110" s="2"/>
      <c r="AN110" s="2"/>
      <c r="AO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row>
    <row r="111" spans="1:81" x14ac:dyDescent="0.45">
      <c r="B111" s="2"/>
      <c r="C111" s="2"/>
      <c r="D111" s="2"/>
      <c r="E111" s="2"/>
      <c r="F111" s="2"/>
      <c r="G111" s="2"/>
      <c r="H111" s="2"/>
      <c r="I111" s="2"/>
      <c r="J111" s="2"/>
      <c r="K111" s="2"/>
      <c r="L111" s="2"/>
      <c r="N111" s="73"/>
      <c r="Q111" s="180"/>
      <c r="R111" s="180"/>
      <c r="S111" s="180"/>
      <c r="T111" s="180"/>
      <c r="U111" s="180"/>
      <c r="V111" s="180"/>
      <c r="W111" s="180"/>
      <c r="X111" s="180"/>
      <c r="Y111" s="86"/>
      <c r="AA111" s="2"/>
      <c r="AN111" s="2"/>
      <c r="AO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row>
    <row r="112" spans="1:81" x14ac:dyDescent="0.45">
      <c r="A112" s="1" t="s">
        <v>222</v>
      </c>
      <c r="B112" s="2"/>
      <c r="C112" s="2"/>
      <c r="D112" s="2"/>
      <c r="E112" s="2"/>
      <c r="F112" s="2"/>
      <c r="G112" s="2"/>
      <c r="H112" s="2"/>
      <c r="I112" s="2"/>
      <c r="J112" s="2"/>
      <c r="K112" s="2"/>
      <c r="L112" s="2"/>
      <c r="N112" s="73"/>
      <c r="AA112" s="2"/>
      <c r="AN112" s="2"/>
      <c r="AO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row>
    <row r="113" spans="1:81" x14ac:dyDescent="0.45">
      <c r="A113" s="1" t="s">
        <v>33</v>
      </c>
      <c r="C113" s="2"/>
      <c r="D113" s="2"/>
      <c r="E113" s="2"/>
      <c r="F113" s="2"/>
      <c r="G113" s="2"/>
      <c r="H113" s="2"/>
      <c r="I113" s="2"/>
      <c r="J113" s="2"/>
      <c r="K113" s="2"/>
      <c r="L113" s="2"/>
      <c r="N113" s="73"/>
      <c r="Q113" s="180"/>
      <c r="R113" s="180"/>
      <c r="S113" s="180"/>
      <c r="T113" s="180"/>
      <c r="U113" s="180"/>
      <c r="V113" s="180"/>
      <c r="W113" s="180"/>
      <c r="X113" s="180"/>
      <c r="Y113" s="86"/>
      <c r="AA113" s="2"/>
      <c r="AN113" s="2"/>
      <c r="AO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row>
    <row r="114" spans="1:81" x14ac:dyDescent="0.45">
      <c r="A114" s="2" t="s">
        <v>30</v>
      </c>
      <c r="C114" s="2"/>
      <c r="D114" s="2"/>
      <c r="E114" s="2"/>
      <c r="F114" s="2"/>
      <c r="G114" s="2"/>
      <c r="H114" s="2"/>
      <c r="I114" s="2"/>
      <c r="J114" s="2"/>
      <c r="K114" s="2"/>
      <c r="L114" s="2"/>
      <c r="N114" s="73"/>
      <c r="Q114" s="180"/>
      <c r="R114" s="180"/>
      <c r="S114" s="180"/>
      <c r="T114" s="180"/>
      <c r="U114" s="180"/>
      <c r="V114" s="180"/>
      <c r="W114" s="180"/>
      <c r="X114" s="180"/>
      <c r="Y114" s="86"/>
      <c r="AA114" s="2"/>
      <c r="AN114" s="2"/>
      <c r="AO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row>
    <row r="115" spans="1:81" x14ac:dyDescent="0.45">
      <c r="A115" s="2"/>
      <c r="B115" s="1" t="s">
        <v>20</v>
      </c>
      <c r="C115" s="180"/>
      <c r="D115" s="180"/>
      <c r="E115" s="180"/>
      <c r="F115" s="1" t="s">
        <v>21</v>
      </c>
      <c r="G115" s="180"/>
      <c r="H115" s="180"/>
      <c r="I115" s="180"/>
      <c r="J115" s="180"/>
      <c r="K115" s="180"/>
      <c r="L115" s="2"/>
      <c r="N115" s="73"/>
      <c r="Q115" s="180"/>
      <c r="R115" s="180"/>
      <c r="S115" s="180"/>
      <c r="T115" s="180"/>
      <c r="U115" s="180"/>
      <c r="V115" s="180"/>
      <c r="W115" s="180"/>
      <c r="X115" s="180"/>
      <c r="Y115" s="86"/>
      <c r="AA115" s="2"/>
      <c r="AN115" s="2"/>
      <c r="AO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row>
    <row r="116" spans="1:81" x14ac:dyDescent="0.45">
      <c r="A116" s="26" t="s">
        <v>19</v>
      </c>
      <c r="B116" s="88">
        <v>13</v>
      </c>
      <c r="C116" s="91">
        <v>18</v>
      </c>
      <c r="D116" s="91">
        <v>23</v>
      </c>
      <c r="E116" s="91">
        <v>28</v>
      </c>
      <c r="F116" s="91">
        <v>3</v>
      </c>
      <c r="G116" s="91">
        <v>8</v>
      </c>
      <c r="H116" s="91">
        <v>13</v>
      </c>
      <c r="I116" s="91">
        <v>18</v>
      </c>
      <c r="J116" s="91">
        <v>23</v>
      </c>
      <c r="K116" s="8" t="s">
        <v>24</v>
      </c>
      <c r="L116" s="2"/>
      <c r="N116" s="73"/>
      <c r="Q116" s="180"/>
      <c r="R116" s="180"/>
      <c r="S116" s="180"/>
      <c r="T116" s="180"/>
      <c r="U116" s="180"/>
      <c r="V116" s="180"/>
      <c r="W116" s="180"/>
      <c r="X116" s="180"/>
      <c r="Y116" s="86"/>
      <c r="AA116" s="2"/>
      <c r="AN116" s="2"/>
      <c r="AO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row>
    <row r="117" spans="1:81" x14ac:dyDescent="0.45">
      <c r="A117" s="3" t="s">
        <v>1</v>
      </c>
      <c r="I117">
        <v>13</v>
      </c>
      <c r="K117" s="86">
        <f t="shared" ref="K117:K151" si="27">SUM(B117:J117)</f>
        <v>13</v>
      </c>
      <c r="N117" s="73"/>
      <c r="Q117" s="180"/>
      <c r="R117" s="180"/>
      <c r="S117" s="180"/>
      <c r="T117" s="180"/>
      <c r="U117" s="180"/>
      <c r="V117" s="180"/>
      <c r="W117" s="180"/>
      <c r="X117" s="180"/>
      <c r="Y117" s="86"/>
      <c r="AA117" s="2"/>
      <c r="AN117" s="2"/>
      <c r="AO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row>
    <row r="118" spans="1:81" x14ac:dyDescent="0.45">
      <c r="A118" s="83" t="s">
        <v>49</v>
      </c>
      <c r="K118" s="86">
        <f t="shared" si="27"/>
        <v>0</v>
      </c>
      <c r="N118" s="73"/>
      <c r="Q118" s="180"/>
      <c r="R118" s="180"/>
      <c r="S118" s="180"/>
      <c r="T118" s="180"/>
      <c r="U118" s="180"/>
      <c r="V118" s="180"/>
      <c r="W118" s="180"/>
      <c r="X118" s="180"/>
      <c r="Y118" s="86"/>
      <c r="AA118" s="2"/>
      <c r="AN118" s="2"/>
      <c r="AO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row>
    <row r="119" spans="1:81" x14ac:dyDescent="0.45">
      <c r="A119" s="83" t="s">
        <v>45</v>
      </c>
      <c r="K119" s="86">
        <f t="shared" si="27"/>
        <v>0</v>
      </c>
      <c r="N119" s="73"/>
      <c r="Q119" s="180"/>
      <c r="R119" s="180"/>
      <c r="S119" s="180"/>
      <c r="T119" s="180"/>
      <c r="U119" s="180"/>
      <c r="V119" s="180"/>
      <c r="W119" s="180"/>
      <c r="X119" s="180"/>
      <c r="Y119" s="86"/>
      <c r="AA119" s="2"/>
      <c r="AN119" s="2"/>
      <c r="AO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row>
    <row r="120" spans="1:81" x14ac:dyDescent="0.45">
      <c r="A120" s="83" t="s">
        <v>41</v>
      </c>
      <c r="K120" s="86">
        <f t="shared" si="27"/>
        <v>0</v>
      </c>
      <c r="N120" s="73"/>
      <c r="AA120" s="2"/>
      <c r="AN120" s="2"/>
      <c r="AO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row>
    <row r="121" spans="1:81" x14ac:dyDescent="0.45">
      <c r="A121" s="3" t="s">
        <v>2</v>
      </c>
      <c r="H121">
        <v>1</v>
      </c>
      <c r="K121" s="86">
        <f t="shared" si="27"/>
        <v>1</v>
      </c>
      <c r="N121" s="73"/>
      <c r="Q121" s="180"/>
      <c r="R121" s="180"/>
      <c r="S121" s="180"/>
      <c r="T121" s="180"/>
      <c r="U121" s="180"/>
      <c r="V121" s="180"/>
      <c r="W121" s="180"/>
      <c r="X121" s="180"/>
      <c r="Y121" s="86"/>
      <c r="AA121" s="2"/>
      <c r="AN121" s="2"/>
      <c r="AO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row>
    <row r="122" spans="1:81" s="2" customFormat="1" x14ac:dyDescent="0.45">
      <c r="A122" s="83" t="s">
        <v>43</v>
      </c>
      <c r="B122"/>
      <c r="C122"/>
      <c r="D122"/>
      <c r="E122"/>
      <c r="F122"/>
      <c r="G122"/>
      <c r="H122"/>
      <c r="I122"/>
      <c r="J122"/>
      <c r="K122" s="86">
        <f t="shared" si="27"/>
        <v>0</v>
      </c>
      <c r="L122"/>
      <c r="N122" s="73"/>
      <c r="O122"/>
      <c r="P122"/>
      <c r="Q122" s="180"/>
      <c r="R122" s="180"/>
      <c r="S122" s="180"/>
      <c r="T122" s="180"/>
      <c r="U122" s="180"/>
      <c r="V122" s="180"/>
      <c r="W122" s="180"/>
      <c r="X122" s="180"/>
      <c r="Y122" s="86"/>
      <c r="AB122"/>
      <c r="AC122"/>
      <c r="AD122"/>
      <c r="AE122"/>
      <c r="AF122"/>
      <c r="AG122"/>
      <c r="AH122"/>
      <c r="AI122"/>
      <c r="AJ122"/>
      <c r="AK122"/>
      <c r="AL122"/>
      <c r="AM122"/>
    </row>
    <row r="123" spans="1:81" x14ac:dyDescent="0.45">
      <c r="A123" s="3" t="s">
        <v>3</v>
      </c>
      <c r="D123">
        <v>17</v>
      </c>
      <c r="K123" s="86">
        <f t="shared" si="27"/>
        <v>17</v>
      </c>
      <c r="Q123" s="180"/>
      <c r="R123" s="180"/>
      <c r="S123" s="180"/>
      <c r="T123" s="180"/>
      <c r="U123" s="180"/>
      <c r="V123" s="180"/>
      <c r="W123" s="180"/>
      <c r="X123" s="180"/>
      <c r="Y123" s="86"/>
      <c r="AA123" s="2"/>
      <c r="AN123" s="2"/>
      <c r="AO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row>
    <row r="124" spans="1:81" x14ac:dyDescent="0.45">
      <c r="A124" s="3" t="s">
        <v>4</v>
      </c>
      <c r="K124" s="86">
        <f t="shared" si="27"/>
        <v>0</v>
      </c>
      <c r="Q124" s="180"/>
      <c r="R124" s="180"/>
      <c r="S124" s="180"/>
      <c r="T124" s="180"/>
      <c r="U124" s="180"/>
      <c r="V124" s="180"/>
      <c r="W124" s="180"/>
      <c r="X124" s="180"/>
      <c r="Y124" s="86"/>
      <c r="AA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row>
    <row r="125" spans="1:81" x14ac:dyDescent="0.45">
      <c r="A125" s="83" t="s">
        <v>48</v>
      </c>
      <c r="K125" s="86">
        <f t="shared" si="27"/>
        <v>0</v>
      </c>
      <c r="Q125" s="180"/>
      <c r="R125" s="180"/>
      <c r="S125" s="180"/>
      <c r="T125" s="180"/>
      <c r="U125" s="180"/>
      <c r="V125" s="180"/>
      <c r="W125" s="180"/>
      <c r="X125" s="180"/>
      <c r="Y125" s="86"/>
      <c r="AA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row>
    <row r="126" spans="1:81" x14ac:dyDescent="0.45">
      <c r="A126" s="3" t="s">
        <v>6</v>
      </c>
      <c r="K126" s="86">
        <f t="shared" si="27"/>
        <v>0</v>
      </c>
      <c r="Q126" s="180"/>
      <c r="R126" s="180"/>
      <c r="S126" s="180"/>
      <c r="T126" s="180"/>
      <c r="U126" s="180"/>
      <c r="V126" s="180"/>
      <c r="W126" s="180"/>
      <c r="X126" s="180"/>
      <c r="Y126" s="86"/>
      <c r="AA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row>
    <row r="127" spans="1:81" x14ac:dyDescent="0.45">
      <c r="A127" s="3" t="s">
        <v>7</v>
      </c>
      <c r="K127" s="86">
        <f t="shared" si="27"/>
        <v>0</v>
      </c>
      <c r="Q127" s="180"/>
      <c r="R127" s="180"/>
      <c r="S127" s="180"/>
      <c r="T127" s="180"/>
      <c r="U127" s="180"/>
      <c r="V127" s="180"/>
      <c r="W127" s="180"/>
      <c r="X127" s="180"/>
      <c r="Y127" s="86"/>
      <c r="AA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row>
    <row r="128" spans="1:81" x14ac:dyDescent="0.45">
      <c r="A128" s="101" t="s">
        <v>83</v>
      </c>
      <c r="K128" s="86">
        <f t="shared" si="27"/>
        <v>0</v>
      </c>
      <c r="AA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row>
    <row r="129" spans="1:81" x14ac:dyDescent="0.45">
      <c r="A129" s="83" t="s">
        <v>50</v>
      </c>
      <c r="K129" s="86">
        <f t="shared" si="27"/>
        <v>0</v>
      </c>
      <c r="AA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row>
    <row r="130" spans="1:81" x14ac:dyDescent="0.45">
      <c r="A130" s="83" t="s">
        <v>51</v>
      </c>
      <c r="K130" s="86">
        <f t="shared" si="27"/>
        <v>0</v>
      </c>
      <c r="AA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row>
    <row r="131" spans="1:81" x14ac:dyDescent="0.45">
      <c r="A131" s="83" t="s">
        <v>42</v>
      </c>
      <c r="K131" s="86">
        <f t="shared" si="27"/>
        <v>0</v>
      </c>
      <c r="AA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row>
    <row r="132" spans="1:81" x14ac:dyDescent="0.45">
      <c r="A132" s="3" t="s">
        <v>8</v>
      </c>
      <c r="K132" s="86">
        <f t="shared" si="27"/>
        <v>0</v>
      </c>
      <c r="AA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row>
    <row r="133" spans="1:81" x14ac:dyDescent="0.45">
      <c r="A133" s="3" t="s">
        <v>9</v>
      </c>
      <c r="K133" s="86">
        <f t="shared" si="27"/>
        <v>0</v>
      </c>
      <c r="AA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row>
    <row r="134" spans="1:81" s="2" customFormat="1" x14ac:dyDescent="0.45">
      <c r="A134" s="83" t="s">
        <v>44</v>
      </c>
      <c r="B134"/>
      <c r="C134"/>
      <c r="D134">
        <v>1</v>
      </c>
      <c r="E134"/>
      <c r="F134"/>
      <c r="G134"/>
      <c r="H134"/>
      <c r="I134"/>
      <c r="J134"/>
      <c r="K134" s="86">
        <f t="shared" si="27"/>
        <v>1</v>
      </c>
      <c r="L134"/>
      <c r="N134"/>
      <c r="O134"/>
      <c r="P134"/>
      <c r="Q134"/>
      <c r="R134"/>
      <c r="S134"/>
      <c r="T134"/>
      <c r="U134"/>
      <c r="V134"/>
      <c r="W134"/>
      <c r="X134"/>
      <c r="Y134"/>
      <c r="Z134"/>
      <c r="AB134"/>
      <c r="AC134"/>
      <c r="AD134"/>
      <c r="AE134"/>
      <c r="AF134"/>
      <c r="AG134"/>
      <c r="AH134"/>
      <c r="AI134"/>
      <c r="AJ134"/>
      <c r="AK134"/>
      <c r="AL134"/>
      <c r="AM134"/>
    </row>
    <row r="135" spans="1:81" x14ac:dyDescent="0.45">
      <c r="A135" s="3" t="s">
        <v>10</v>
      </c>
      <c r="K135" s="86">
        <f t="shared" si="27"/>
        <v>0</v>
      </c>
      <c r="AA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row>
    <row r="136" spans="1:81" x14ac:dyDescent="0.45">
      <c r="A136" s="3" t="s">
        <v>11</v>
      </c>
      <c r="G136">
        <v>90</v>
      </c>
      <c r="H136">
        <v>150</v>
      </c>
      <c r="I136">
        <v>20</v>
      </c>
      <c r="K136" s="86">
        <f t="shared" si="27"/>
        <v>260</v>
      </c>
      <c r="AA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row>
    <row r="137" spans="1:81" x14ac:dyDescent="0.45">
      <c r="A137" s="3" t="s">
        <v>12</v>
      </c>
      <c r="G137">
        <v>1</v>
      </c>
      <c r="H137">
        <v>1</v>
      </c>
      <c r="I137">
        <v>3</v>
      </c>
      <c r="K137" s="86">
        <f t="shared" si="27"/>
        <v>5</v>
      </c>
      <c r="AA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row>
    <row r="138" spans="1:81" s="2" customFormat="1" x14ac:dyDescent="0.45">
      <c r="A138" s="83" t="s">
        <v>32</v>
      </c>
      <c r="B138"/>
      <c r="C138"/>
      <c r="D138"/>
      <c r="E138"/>
      <c r="F138"/>
      <c r="G138"/>
      <c r="H138"/>
      <c r="I138"/>
      <c r="J138"/>
      <c r="K138" s="86">
        <f t="shared" si="27"/>
        <v>0</v>
      </c>
      <c r="L138"/>
      <c r="N138"/>
      <c r="O138"/>
      <c r="P138"/>
      <c r="Q138"/>
      <c r="R138"/>
      <c r="S138"/>
      <c r="T138"/>
      <c r="U138"/>
      <c r="V138"/>
      <c r="W138"/>
      <c r="X138"/>
      <c r="Y138"/>
      <c r="Z138"/>
      <c r="AB138"/>
      <c r="AC138"/>
      <c r="AD138"/>
      <c r="AE138"/>
      <c r="AF138"/>
      <c r="AG138"/>
      <c r="AH138"/>
      <c r="AI138"/>
      <c r="AJ138"/>
      <c r="AK138"/>
      <c r="AL138"/>
      <c r="AM138"/>
    </row>
    <row r="139" spans="1:81" s="2" customFormat="1" x14ac:dyDescent="0.45">
      <c r="A139" s="3" t="s">
        <v>18</v>
      </c>
      <c r="B139"/>
      <c r="C139"/>
      <c r="D139"/>
      <c r="E139"/>
      <c r="F139"/>
      <c r="G139"/>
      <c r="H139"/>
      <c r="I139"/>
      <c r="J139"/>
      <c r="K139" s="86">
        <f t="shared" si="27"/>
        <v>0</v>
      </c>
      <c r="L139"/>
      <c r="N139"/>
      <c r="O139"/>
      <c r="P139"/>
      <c r="Q139"/>
      <c r="R139"/>
      <c r="S139"/>
      <c r="T139"/>
      <c r="U139"/>
      <c r="V139"/>
      <c r="W139"/>
      <c r="X139"/>
      <c r="Y139"/>
      <c r="Z139"/>
      <c r="AB139"/>
      <c r="AC139"/>
      <c r="AD139"/>
      <c r="AE139"/>
      <c r="AF139"/>
      <c r="AG139"/>
      <c r="AH139"/>
      <c r="AI139"/>
      <c r="AJ139"/>
      <c r="AK139"/>
      <c r="AL139"/>
      <c r="AM139"/>
    </row>
    <row r="140" spans="1:81" x14ac:dyDescent="0.45">
      <c r="A140" s="83" t="s">
        <v>46</v>
      </c>
      <c r="K140" s="86">
        <f t="shared" si="27"/>
        <v>0</v>
      </c>
      <c r="AA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row>
    <row r="141" spans="1:81" x14ac:dyDescent="0.45">
      <c r="A141" s="3" t="s">
        <v>13</v>
      </c>
      <c r="I141">
        <v>38</v>
      </c>
      <c r="K141" s="86">
        <f t="shared" si="27"/>
        <v>38</v>
      </c>
      <c r="AA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row>
    <row r="142" spans="1:81" x14ac:dyDescent="0.45">
      <c r="A142" s="3" t="s">
        <v>14</v>
      </c>
      <c r="H142">
        <v>10</v>
      </c>
      <c r="I142">
        <v>10</v>
      </c>
      <c r="K142" s="86">
        <f t="shared" si="27"/>
        <v>20</v>
      </c>
      <c r="AA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row>
    <row r="143" spans="1:81" x14ac:dyDescent="0.45">
      <c r="A143" s="83" t="s">
        <v>40</v>
      </c>
      <c r="K143" s="86">
        <f t="shared" si="27"/>
        <v>0</v>
      </c>
      <c r="AA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row>
    <row r="144" spans="1:81" x14ac:dyDescent="0.45">
      <c r="A144" s="83" t="s">
        <v>52</v>
      </c>
      <c r="K144" s="86">
        <f t="shared" si="27"/>
        <v>0</v>
      </c>
      <c r="P144" s="86"/>
      <c r="Q144" s="86"/>
      <c r="R144" s="86"/>
      <c r="S144" s="86"/>
      <c r="T144" s="86"/>
      <c r="U144" s="86"/>
      <c r="V144" s="86"/>
      <c r="W144" s="86"/>
      <c r="X144" s="86"/>
      <c r="AA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row>
    <row r="145" spans="1:81" x14ac:dyDescent="0.45">
      <c r="A145" s="83" t="s">
        <v>53</v>
      </c>
      <c r="K145" s="86">
        <f t="shared" si="27"/>
        <v>0</v>
      </c>
      <c r="P145" s="86"/>
      <c r="Q145" s="86"/>
      <c r="R145" s="86"/>
      <c r="S145" s="86"/>
      <c r="T145" s="86"/>
      <c r="U145" s="86"/>
      <c r="V145" s="86"/>
      <c r="W145" s="86"/>
      <c r="X145" s="86"/>
      <c r="AA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row>
    <row r="146" spans="1:81" x14ac:dyDescent="0.45">
      <c r="A146" s="3" t="s">
        <v>15</v>
      </c>
      <c r="K146" s="86">
        <f t="shared" si="27"/>
        <v>0</v>
      </c>
      <c r="AA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row>
    <row r="147" spans="1:81" x14ac:dyDescent="0.45">
      <c r="A147" s="83" t="s">
        <v>54</v>
      </c>
      <c r="K147" s="86">
        <f t="shared" si="27"/>
        <v>0</v>
      </c>
      <c r="Z147" s="2"/>
      <c r="AA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row>
    <row r="148" spans="1:81" x14ac:dyDescent="0.45">
      <c r="A148" s="83" t="s">
        <v>47</v>
      </c>
      <c r="K148" s="86">
        <f t="shared" si="27"/>
        <v>0</v>
      </c>
      <c r="Z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row>
    <row r="149" spans="1:81" x14ac:dyDescent="0.45">
      <c r="A149" s="3" t="s">
        <v>16</v>
      </c>
      <c r="I149">
        <v>1</v>
      </c>
      <c r="K149" s="86">
        <f t="shared" si="27"/>
        <v>1</v>
      </c>
      <c r="O149" s="2"/>
      <c r="P149" s="2"/>
      <c r="Q149" s="2"/>
      <c r="R149" s="2"/>
      <c r="S149" s="2"/>
      <c r="T149" s="2"/>
      <c r="U149" s="2"/>
      <c r="V149" s="2"/>
      <c r="W149" s="2"/>
      <c r="X149" s="2"/>
      <c r="Y149" s="2"/>
      <c r="Z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row>
    <row r="150" spans="1:81" x14ac:dyDescent="0.45">
      <c r="A150" s="83" t="s">
        <v>55</v>
      </c>
      <c r="K150" s="86">
        <f t="shared" si="27"/>
        <v>0</v>
      </c>
      <c r="O150" s="2"/>
      <c r="P150" s="2"/>
      <c r="Q150" s="2"/>
      <c r="R150" s="2"/>
      <c r="S150" s="2"/>
      <c r="T150" s="2"/>
      <c r="U150" s="2"/>
      <c r="V150" s="2"/>
      <c r="W150" s="2"/>
      <c r="X150" s="2"/>
      <c r="Y150" s="2"/>
      <c r="Z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row>
    <row r="151" spans="1:81" x14ac:dyDescent="0.45">
      <c r="A151" s="78" t="s">
        <v>17</v>
      </c>
      <c r="K151" s="86">
        <f t="shared" si="27"/>
        <v>0</v>
      </c>
      <c r="Z151" s="2"/>
      <c r="AN151" s="2"/>
      <c r="AO151" s="2"/>
      <c r="AP151" s="2"/>
      <c r="AQ151" s="2"/>
      <c r="AR151" s="2"/>
      <c r="AS151" s="2"/>
      <c r="AT151" s="2"/>
      <c r="AU151" s="2"/>
      <c r="AV151" s="2"/>
      <c r="AW151" s="2"/>
      <c r="AX151" s="2"/>
      <c r="AY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row>
    <row r="152" spans="1:81" x14ac:dyDescent="0.45">
      <c r="A152" s="178" t="s">
        <v>24</v>
      </c>
      <c r="B152" s="159">
        <f>SUM(B117:B151)</f>
        <v>0</v>
      </c>
      <c r="C152" s="160">
        <f t="shared" ref="C152:K152" si="28">SUM(C117:C151)</f>
        <v>0</v>
      </c>
      <c r="D152" s="160">
        <f t="shared" si="28"/>
        <v>18</v>
      </c>
      <c r="E152" s="160">
        <f t="shared" si="28"/>
        <v>0</v>
      </c>
      <c r="F152" s="160">
        <f t="shared" si="28"/>
        <v>0</v>
      </c>
      <c r="G152" s="160">
        <f t="shared" si="28"/>
        <v>91</v>
      </c>
      <c r="H152" s="160">
        <f t="shared" si="28"/>
        <v>162</v>
      </c>
      <c r="I152" s="160">
        <f t="shared" si="28"/>
        <v>85</v>
      </c>
      <c r="J152" s="160">
        <f t="shared" si="28"/>
        <v>0</v>
      </c>
      <c r="K152" s="160">
        <f t="shared" si="28"/>
        <v>356</v>
      </c>
      <c r="L152" s="17">
        <f>SUM(B152:J152)</f>
        <v>356</v>
      </c>
      <c r="Z152" s="2"/>
      <c r="AN152" s="2"/>
      <c r="AO152" s="2"/>
      <c r="AP152" s="2"/>
      <c r="AQ152" s="2"/>
      <c r="AR152" s="2"/>
      <c r="AS152" s="2"/>
      <c r="AT152" s="2"/>
      <c r="AU152" s="2"/>
      <c r="AV152" s="2"/>
      <c r="AW152" s="2"/>
      <c r="AX152" s="2"/>
      <c r="AY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row>
    <row r="153" spans="1:81" x14ac:dyDescent="0.45">
      <c r="B153" s="2"/>
      <c r="C153" s="2"/>
      <c r="D153" s="17"/>
      <c r="E153" s="2"/>
      <c r="F153" s="2"/>
      <c r="G153" s="2"/>
      <c r="H153" s="2"/>
      <c r="I153" s="2"/>
      <c r="J153" s="2"/>
      <c r="K153" s="17"/>
      <c r="L153" s="2"/>
      <c r="Z153" s="2"/>
      <c r="AN153" s="2"/>
      <c r="AO153" s="2"/>
      <c r="AP153" s="2"/>
      <c r="AQ153" s="2"/>
      <c r="AR153" s="2"/>
      <c r="AS153" s="2"/>
      <c r="AT153" s="2"/>
      <c r="AU153" s="2"/>
      <c r="AV153" s="2"/>
      <c r="AW153" s="2"/>
      <c r="AX153" s="2"/>
      <c r="AY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row>
    <row r="154" spans="1:81" x14ac:dyDescent="0.45">
      <c r="B154" s="2"/>
      <c r="C154" s="2"/>
      <c r="D154" s="2"/>
      <c r="E154" s="2"/>
      <c r="F154" s="2"/>
      <c r="G154" s="2"/>
      <c r="H154" s="2"/>
      <c r="I154" s="2"/>
      <c r="J154" s="2"/>
      <c r="K154" s="2"/>
      <c r="L154" s="2"/>
      <c r="Z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row>
    <row r="155" spans="1:81" x14ac:dyDescent="0.45">
      <c r="A155" s="1" t="s">
        <v>222</v>
      </c>
      <c r="B155" s="2"/>
      <c r="C155" s="2"/>
      <c r="D155" s="2"/>
      <c r="E155" s="2"/>
      <c r="F155" s="2"/>
      <c r="G155" s="2"/>
      <c r="H155" s="2"/>
      <c r="I155" s="2"/>
      <c r="J155" s="2"/>
      <c r="K155" s="2"/>
      <c r="L155" s="2"/>
      <c r="Z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row>
    <row r="156" spans="1:81" x14ac:dyDescent="0.45">
      <c r="A156" s="1" t="s">
        <v>25</v>
      </c>
      <c r="C156" s="2"/>
      <c r="D156" s="2"/>
      <c r="E156" s="2"/>
      <c r="F156" s="2"/>
      <c r="G156" s="2"/>
      <c r="H156" s="2"/>
      <c r="I156" s="2"/>
      <c r="J156" s="2"/>
      <c r="K156" s="2"/>
      <c r="L156" s="2"/>
      <c r="O156" s="2"/>
      <c r="P156" s="2"/>
      <c r="Q156" s="2"/>
      <c r="R156" s="2"/>
      <c r="S156" s="2"/>
      <c r="T156" s="2"/>
      <c r="U156" s="2"/>
      <c r="V156" s="2"/>
      <c r="W156" s="2"/>
      <c r="X156" s="2"/>
      <c r="Y156" s="2"/>
      <c r="Z156" s="2"/>
      <c r="AA156" s="18"/>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row>
    <row r="157" spans="1:81" x14ac:dyDescent="0.45">
      <c r="A157" s="2" t="s">
        <v>31</v>
      </c>
      <c r="B157" s="2"/>
      <c r="C157" s="2"/>
      <c r="D157" s="2"/>
      <c r="E157" s="2"/>
      <c r="F157" s="2"/>
      <c r="G157" s="2"/>
      <c r="H157" s="2"/>
      <c r="I157" s="2"/>
      <c r="J157" s="2"/>
      <c r="K157" s="2"/>
      <c r="L157" s="2"/>
      <c r="Z157" s="2"/>
      <c r="AA157" s="18"/>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row>
    <row r="158" spans="1:81" x14ac:dyDescent="0.45">
      <c r="A158" s="2"/>
      <c r="B158" s="1" t="s">
        <v>20</v>
      </c>
      <c r="C158" s="180"/>
      <c r="D158" s="180"/>
      <c r="E158" s="180"/>
      <c r="F158" s="1" t="s">
        <v>21</v>
      </c>
      <c r="G158" s="180"/>
      <c r="H158" s="180"/>
      <c r="I158" s="180"/>
      <c r="J158" s="180"/>
      <c r="K158" s="180"/>
      <c r="L158" s="2"/>
      <c r="N158" s="2"/>
      <c r="Z158" s="2"/>
      <c r="AA158" s="18"/>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row>
    <row r="159" spans="1:81" x14ac:dyDescent="0.45">
      <c r="A159" s="26" t="s">
        <v>19</v>
      </c>
      <c r="B159" s="88">
        <v>13</v>
      </c>
      <c r="C159" s="91">
        <v>18</v>
      </c>
      <c r="D159" s="91">
        <v>23</v>
      </c>
      <c r="E159" s="91">
        <v>28</v>
      </c>
      <c r="F159" s="91">
        <v>3</v>
      </c>
      <c r="G159" s="91">
        <v>8</v>
      </c>
      <c r="H159" s="91">
        <v>13</v>
      </c>
      <c r="I159" s="91">
        <v>18</v>
      </c>
      <c r="J159" s="91">
        <v>23</v>
      </c>
      <c r="K159" s="8" t="s">
        <v>24</v>
      </c>
      <c r="L159" s="2"/>
      <c r="Z159" s="2"/>
      <c r="AA159" s="18"/>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row>
    <row r="160" spans="1:81" x14ac:dyDescent="0.45">
      <c r="A160" s="3" t="s">
        <v>1</v>
      </c>
      <c r="F160">
        <v>3</v>
      </c>
      <c r="G160">
        <v>14</v>
      </c>
      <c r="H160">
        <v>32</v>
      </c>
      <c r="I160">
        <v>55</v>
      </c>
      <c r="J160">
        <v>31</v>
      </c>
      <c r="K160" s="86">
        <f t="shared" ref="K160:K194" si="29">SUM(B160:J160)</f>
        <v>135</v>
      </c>
      <c r="N160" s="73"/>
      <c r="Z160" s="2"/>
      <c r="AA160" s="18"/>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row>
    <row r="161" spans="1:81" x14ac:dyDescent="0.45">
      <c r="A161" s="83" t="s">
        <v>49</v>
      </c>
      <c r="K161" s="86">
        <f t="shared" si="29"/>
        <v>0</v>
      </c>
      <c r="N161" s="73"/>
      <c r="Z161" s="2"/>
      <c r="AA161" s="18"/>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row>
    <row r="162" spans="1:81" x14ac:dyDescent="0.45">
      <c r="A162" s="83" t="s">
        <v>45</v>
      </c>
      <c r="K162" s="86">
        <f t="shared" si="29"/>
        <v>0</v>
      </c>
      <c r="Z162" s="2"/>
      <c r="AA162" s="18"/>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row>
    <row r="163" spans="1:81" ht="15.75" customHeight="1" x14ac:dyDescent="0.45">
      <c r="A163" s="83" t="s">
        <v>41</v>
      </c>
      <c r="D163">
        <v>5</v>
      </c>
      <c r="F163">
        <v>1</v>
      </c>
      <c r="H163">
        <v>2</v>
      </c>
      <c r="K163" s="86">
        <f t="shared" si="29"/>
        <v>8</v>
      </c>
      <c r="Z163" s="2"/>
      <c r="AA163" s="18"/>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row>
    <row r="164" spans="1:81" x14ac:dyDescent="0.45">
      <c r="A164" s="3" t="s">
        <v>2</v>
      </c>
      <c r="B164">
        <v>1</v>
      </c>
      <c r="C164">
        <v>25</v>
      </c>
      <c r="D164">
        <v>28</v>
      </c>
      <c r="E164">
        <v>4</v>
      </c>
      <c r="F164">
        <v>10</v>
      </c>
      <c r="G164">
        <v>9</v>
      </c>
      <c r="H164">
        <v>2</v>
      </c>
      <c r="K164" s="86">
        <f t="shared" si="29"/>
        <v>79</v>
      </c>
      <c r="Z164" s="2"/>
      <c r="AA164" s="18"/>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row>
    <row r="165" spans="1:81" s="2" customFormat="1" x14ac:dyDescent="0.45">
      <c r="A165" s="83" t="s">
        <v>43</v>
      </c>
      <c r="B165"/>
      <c r="C165"/>
      <c r="D165"/>
      <c r="E165"/>
      <c r="F165"/>
      <c r="G165"/>
      <c r="H165"/>
      <c r="I165"/>
      <c r="J165"/>
      <c r="K165" s="86">
        <f t="shared" si="29"/>
        <v>0</v>
      </c>
      <c r="L165"/>
      <c r="M165"/>
      <c r="N165"/>
      <c r="O165"/>
      <c r="P165"/>
      <c r="Q165"/>
      <c r="R165"/>
      <c r="S165"/>
      <c r="T165"/>
      <c r="U165"/>
      <c r="V165"/>
      <c r="W165"/>
      <c r="X165"/>
      <c r="Y165"/>
      <c r="AA165" s="18"/>
      <c r="AB165"/>
      <c r="AC165"/>
      <c r="AD165"/>
      <c r="AE165"/>
      <c r="AF165"/>
      <c r="AG165"/>
      <c r="AH165"/>
      <c r="AI165"/>
      <c r="AJ165"/>
      <c r="AK165"/>
      <c r="AL165"/>
      <c r="AM165"/>
    </row>
    <row r="166" spans="1:81" x14ac:dyDescent="0.45">
      <c r="A166" s="3" t="s">
        <v>3</v>
      </c>
      <c r="D166">
        <v>9</v>
      </c>
      <c r="E166">
        <v>3</v>
      </c>
      <c r="K166" s="86">
        <f t="shared" si="29"/>
        <v>12</v>
      </c>
      <c r="Z166" s="2"/>
      <c r="AA166" s="18"/>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row>
    <row r="167" spans="1:81" x14ac:dyDescent="0.45">
      <c r="A167" s="3" t="s">
        <v>4</v>
      </c>
      <c r="K167" s="86">
        <f t="shared" si="29"/>
        <v>0</v>
      </c>
      <c r="Z167" s="2"/>
      <c r="AA167" s="18"/>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row>
    <row r="168" spans="1:81" x14ac:dyDescent="0.45">
      <c r="A168" s="83" t="s">
        <v>48</v>
      </c>
      <c r="F168">
        <v>2</v>
      </c>
      <c r="K168" s="86">
        <f t="shared" si="29"/>
        <v>2</v>
      </c>
      <c r="Z168" s="2"/>
      <c r="AA168" s="18"/>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row>
    <row r="169" spans="1:81" x14ac:dyDescent="0.45">
      <c r="A169" s="3" t="s">
        <v>6</v>
      </c>
      <c r="K169" s="86">
        <f t="shared" si="29"/>
        <v>0</v>
      </c>
      <c r="Z169" s="2"/>
      <c r="AA169" s="18"/>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row>
    <row r="170" spans="1:81" x14ac:dyDescent="0.45">
      <c r="A170" s="3" t="s">
        <v>7</v>
      </c>
      <c r="E170">
        <v>4</v>
      </c>
      <c r="F170">
        <v>2</v>
      </c>
      <c r="K170" s="86">
        <f t="shared" si="29"/>
        <v>6</v>
      </c>
      <c r="N170" s="73"/>
      <c r="Z170" s="2"/>
      <c r="AA170" s="18"/>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row>
    <row r="171" spans="1:81" x14ac:dyDescent="0.45">
      <c r="A171" s="101" t="s">
        <v>83</v>
      </c>
      <c r="K171" s="86">
        <f t="shared" si="29"/>
        <v>0</v>
      </c>
      <c r="N171" s="73"/>
      <c r="Z171" s="2"/>
      <c r="AA171" s="18"/>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row>
    <row r="172" spans="1:81" x14ac:dyDescent="0.45">
      <c r="A172" s="83" t="s">
        <v>50</v>
      </c>
      <c r="K172" s="86">
        <f t="shared" si="29"/>
        <v>0</v>
      </c>
      <c r="N172" s="73"/>
      <c r="Z172" s="2"/>
      <c r="AA172" s="18"/>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row>
    <row r="173" spans="1:81" x14ac:dyDescent="0.45">
      <c r="A173" s="83" t="s">
        <v>51</v>
      </c>
      <c r="I173">
        <v>1</v>
      </c>
      <c r="K173" s="86">
        <f t="shared" si="29"/>
        <v>1</v>
      </c>
      <c r="N173" s="73"/>
      <c r="Z173" s="2"/>
      <c r="AA173" s="18"/>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row>
    <row r="174" spans="1:81" x14ac:dyDescent="0.45">
      <c r="A174" s="83" t="s">
        <v>42</v>
      </c>
      <c r="K174" s="86">
        <f t="shared" si="29"/>
        <v>0</v>
      </c>
      <c r="N174" s="73"/>
      <c r="Z174" s="2"/>
      <c r="AA174" s="18"/>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row>
    <row r="175" spans="1:81" x14ac:dyDescent="0.45">
      <c r="A175" s="3" t="s">
        <v>8</v>
      </c>
      <c r="H175">
        <v>2</v>
      </c>
      <c r="K175" s="86">
        <f t="shared" si="29"/>
        <v>2</v>
      </c>
      <c r="N175" s="73"/>
      <c r="Z175" s="2"/>
      <c r="AA175" s="18"/>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row>
    <row r="176" spans="1:81" x14ac:dyDescent="0.45">
      <c r="A176" s="3" t="s">
        <v>9</v>
      </c>
      <c r="F176">
        <v>20</v>
      </c>
      <c r="K176" s="86">
        <f t="shared" si="29"/>
        <v>20</v>
      </c>
      <c r="N176" s="73"/>
      <c r="Z176" s="2"/>
      <c r="AA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row>
    <row r="177" spans="1:81" s="2" customFormat="1" x14ac:dyDescent="0.45">
      <c r="A177" s="83" t="s">
        <v>44</v>
      </c>
      <c r="B177"/>
      <c r="C177"/>
      <c r="D177">
        <v>1</v>
      </c>
      <c r="E177"/>
      <c r="F177"/>
      <c r="G177">
        <v>1</v>
      </c>
      <c r="H177"/>
      <c r="I177"/>
      <c r="J177">
        <v>2</v>
      </c>
      <c r="K177" s="86">
        <f t="shared" si="29"/>
        <v>4</v>
      </c>
      <c r="L177"/>
      <c r="M177"/>
      <c r="N177" s="73"/>
      <c r="O177"/>
      <c r="P177"/>
      <c r="Q177"/>
      <c r="R177"/>
      <c r="S177"/>
      <c r="T177"/>
      <c r="U177"/>
      <c r="V177"/>
      <c r="W177"/>
      <c r="X177"/>
      <c r="Y177"/>
      <c r="AB177"/>
      <c r="AC177"/>
      <c r="AD177"/>
      <c r="AE177"/>
      <c r="AF177"/>
      <c r="AG177"/>
      <c r="AH177"/>
      <c r="AI177"/>
      <c r="AJ177"/>
      <c r="AK177"/>
      <c r="AL177"/>
      <c r="AM177"/>
    </row>
    <row r="178" spans="1:81" s="2" customFormat="1" x14ac:dyDescent="0.45">
      <c r="A178" s="3" t="s">
        <v>10</v>
      </c>
      <c r="B178"/>
      <c r="C178"/>
      <c r="D178"/>
      <c r="E178"/>
      <c r="F178">
        <v>1</v>
      </c>
      <c r="G178">
        <v>4</v>
      </c>
      <c r="H178">
        <v>2</v>
      </c>
      <c r="I178"/>
      <c r="J178"/>
      <c r="K178" s="86">
        <f t="shared" si="29"/>
        <v>7</v>
      </c>
      <c r="L178"/>
      <c r="M178"/>
      <c r="N178"/>
      <c r="O178"/>
      <c r="P178"/>
      <c r="Q178"/>
      <c r="R178"/>
      <c r="S178"/>
      <c r="T178"/>
      <c r="U178"/>
      <c r="V178"/>
      <c r="W178"/>
      <c r="X178"/>
      <c r="Y178"/>
      <c r="AB178"/>
      <c r="AC178"/>
      <c r="AD178"/>
      <c r="AE178"/>
      <c r="AF178"/>
      <c r="AG178"/>
      <c r="AH178"/>
      <c r="AI178"/>
      <c r="AJ178"/>
      <c r="AK178"/>
      <c r="AL178"/>
      <c r="AM178"/>
    </row>
    <row r="179" spans="1:81" x14ac:dyDescent="0.45">
      <c r="A179" s="3" t="s">
        <v>11</v>
      </c>
      <c r="F179">
        <v>250</v>
      </c>
      <c r="G179">
        <v>500</v>
      </c>
      <c r="H179">
        <v>180</v>
      </c>
      <c r="I179">
        <v>217</v>
      </c>
      <c r="J179">
        <v>18</v>
      </c>
      <c r="K179" s="86">
        <f t="shared" si="29"/>
        <v>1165</v>
      </c>
      <c r="N179" s="73"/>
      <c r="Z179" s="2"/>
      <c r="AA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row>
    <row r="180" spans="1:81" x14ac:dyDescent="0.45">
      <c r="A180" s="3" t="s">
        <v>12</v>
      </c>
      <c r="F180">
        <v>8</v>
      </c>
      <c r="G180">
        <v>16</v>
      </c>
      <c r="H180">
        <v>11</v>
      </c>
      <c r="I180">
        <v>5</v>
      </c>
      <c r="J180">
        <v>1</v>
      </c>
      <c r="K180" s="86">
        <f t="shared" si="29"/>
        <v>41</v>
      </c>
      <c r="N180" s="73"/>
      <c r="Z180" s="2"/>
      <c r="AA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row>
    <row r="181" spans="1:81" x14ac:dyDescent="0.45">
      <c r="A181" s="83" t="s">
        <v>32</v>
      </c>
      <c r="K181" s="86">
        <f t="shared" si="29"/>
        <v>0</v>
      </c>
      <c r="N181" s="73"/>
      <c r="Z181" s="2"/>
      <c r="AA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row>
    <row r="182" spans="1:81" s="2" customFormat="1" x14ac:dyDescent="0.45">
      <c r="A182" s="3" t="s">
        <v>18</v>
      </c>
      <c r="B182"/>
      <c r="C182"/>
      <c r="D182"/>
      <c r="E182"/>
      <c r="F182">
        <v>70</v>
      </c>
      <c r="G182">
        <v>330</v>
      </c>
      <c r="H182">
        <v>334</v>
      </c>
      <c r="I182">
        <v>70</v>
      </c>
      <c r="J182"/>
      <c r="K182" s="86">
        <f t="shared" si="29"/>
        <v>804</v>
      </c>
      <c r="L182"/>
      <c r="N182" s="73"/>
      <c r="O182"/>
      <c r="P182"/>
      <c r="Q182"/>
      <c r="R182"/>
      <c r="S182"/>
      <c r="T182"/>
      <c r="U182"/>
      <c r="V182"/>
      <c r="W182"/>
      <c r="X182"/>
      <c r="Y182"/>
      <c r="AB182"/>
      <c r="AC182"/>
      <c r="AD182"/>
      <c r="AE182"/>
      <c r="AF182"/>
      <c r="AG182"/>
      <c r="AH182"/>
      <c r="AI182"/>
      <c r="AJ182"/>
      <c r="AK182"/>
      <c r="AL182"/>
      <c r="AM182"/>
    </row>
    <row r="183" spans="1:81" x14ac:dyDescent="0.45">
      <c r="A183" s="83" t="s">
        <v>46</v>
      </c>
      <c r="I183">
        <v>1</v>
      </c>
      <c r="K183" s="86">
        <f t="shared" si="29"/>
        <v>1</v>
      </c>
      <c r="N183" s="73"/>
      <c r="Z183" s="2"/>
      <c r="AA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row>
    <row r="184" spans="1:81" x14ac:dyDescent="0.45">
      <c r="A184" s="3" t="s">
        <v>13</v>
      </c>
      <c r="I184">
        <v>2</v>
      </c>
      <c r="K184" s="86">
        <f t="shared" si="29"/>
        <v>2</v>
      </c>
      <c r="Z184" s="2"/>
      <c r="AA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row>
    <row r="185" spans="1:81" x14ac:dyDescent="0.45">
      <c r="A185" s="3" t="s">
        <v>14</v>
      </c>
      <c r="F185">
        <v>130</v>
      </c>
      <c r="G185">
        <v>56</v>
      </c>
      <c r="H185">
        <v>45</v>
      </c>
      <c r="I185">
        <v>18</v>
      </c>
      <c r="K185" s="86">
        <f t="shared" si="29"/>
        <v>249</v>
      </c>
      <c r="Z185" s="2"/>
      <c r="AA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row>
    <row r="186" spans="1:81" x14ac:dyDescent="0.45">
      <c r="A186" s="83" t="s">
        <v>40</v>
      </c>
      <c r="B186">
        <v>1</v>
      </c>
      <c r="D186">
        <v>1</v>
      </c>
      <c r="K186" s="86">
        <f t="shared" si="29"/>
        <v>2</v>
      </c>
      <c r="Z186" s="2"/>
      <c r="AA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row>
    <row r="187" spans="1:81" x14ac:dyDescent="0.45">
      <c r="A187" s="83" t="s">
        <v>52</v>
      </c>
      <c r="K187" s="86">
        <f t="shared" si="29"/>
        <v>0</v>
      </c>
      <c r="Z187" s="2"/>
      <c r="AA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row>
    <row r="188" spans="1:81" x14ac:dyDescent="0.45">
      <c r="A188" s="83" t="s">
        <v>53</v>
      </c>
      <c r="K188" s="86">
        <f t="shared" si="29"/>
        <v>0</v>
      </c>
      <c r="Z188" s="2"/>
      <c r="AA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row>
    <row r="189" spans="1:81" x14ac:dyDescent="0.45">
      <c r="A189" s="3" t="s">
        <v>15</v>
      </c>
      <c r="K189" s="86">
        <f t="shared" si="29"/>
        <v>0</v>
      </c>
      <c r="Z189" s="2"/>
      <c r="AA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row>
    <row r="190" spans="1:81" x14ac:dyDescent="0.45">
      <c r="A190" s="83" t="s">
        <v>54</v>
      </c>
      <c r="J190">
        <v>1</v>
      </c>
      <c r="K190" s="86">
        <f t="shared" si="29"/>
        <v>1</v>
      </c>
      <c r="O190" s="2"/>
      <c r="P190" s="2"/>
      <c r="Q190" s="2"/>
      <c r="R190" s="2"/>
      <c r="S190" s="2"/>
      <c r="T190" s="2"/>
      <c r="U190" s="2"/>
      <c r="V190" s="2"/>
      <c r="W190" s="2"/>
      <c r="X190" s="2"/>
      <c r="Y190" s="2"/>
      <c r="Z190" s="2"/>
      <c r="AA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row>
    <row r="191" spans="1:81" x14ac:dyDescent="0.45">
      <c r="A191" s="83" t="s">
        <v>47</v>
      </c>
      <c r="F191">
        <v>17</v>
      </c>
      <c r="G191">
        <v>32</v>
      </c>
      <c r="H191">
        <v>29</v>
      </c>
      <c r="I191">
        <v>10</v>
      </c>
      <c r="K191" s="86">
        <f t="shared" si="29"/>
        <v>88</v>
      </c>
      <c r="Z191" s="2"/>
      <c r="AA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row>
    <row r="192" spans="1:81" x14ac:dyDescent="0.45">
      <c r="A192" s="3" t="s">
        <v>16</v>
      </c>
      <c r="K192" s="86">
        <f t="shared" si="29"/>
        <v>0</v>
      </c>
      <c r="Z192" s="2"/>
      <c r="AA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row>
    <row r="193" spans="1:81" x14ac:dyDescent="0.45">
      <c r="A193" s="83" t="s">
        <v>55</v>
      </c>
      <c r="K193" s="86">
        <f t="shared" si="29"/>
        <v>0</v>
      </c>
      <c r="Z193" s="2"/>
      <c r="AA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row>
    <row r="194" spans="1:81" x14ac:dyDescent="0.45">
      <c r="A194" s="78" t="s">
        <v>17</v>
      </c>
      <c r="I194">
        <v>12</v>
      </c>
      <c r="K194" s="86">
        <f t="shared" si="29"/>
        <v>12</v>
      </c>
      <c r="Z194" s="2"/>
      <c r="AA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row>
    <row r="195" spans="1:81" x14ac:dyDescent="0.45">
      <c r="A195" s="178" t="s">
        <v>24</v>
      </c>
      <c r="B195" s="159">
        <f>SUM(B160:B194)</f>
        <v>2</v>
      </c>
      <c r="C195" s="160">
        <f t="shared" ref="C195" si="30">SUM(C160:C194)</f>
        <v>25</v>
      </c>
      <c r="D195" s="160">
        <f t="shared" ref="D195" si="31">SUM(D160:D194)</f>
        <v>44</v>
      </c>
      <c r="E195" s="160">
        <f t="shared" ref="E195" si="32">SUM(E160:E194)</f>
        <v>11</v>
      </c>
      <c r="F195" s="160">
        <f t="shared" ref="F195" si="33">SUM(F160:F194)</f>
        <v>514</v>
      </c>
      <c r="G195" s="160">
        <f t="shared" ref="G195" si="34">SUM(G160:G194)</f>
        <v>962</v>
      </c>
      <c r="H195" s="160">
        <f t="shared" ref="H195" si="35">SUM(H160:H194)</f>
        <v>639</v>
      </c>
      <c r="I195" s="160">
        <f t="shared" ref="I195" si="36">SUM(I160:I194)</f>
        <v>391</v>
      </c>
      <c r="J195" s="160">
        <f t="shared" ref="J195" si="37">SUM(J160:J194)</f>
        <v>53</v>
      </c>
      <c r="K195" s="160">
        <f>SUM(K160:K194)</f>
        <v>2641</v>
      </c>
      <c r="L195" s="17">
        <f>SUM(B195:J195)</f>
        <v>2641</v>
      </c>
      <c r="Z195" s="2"/>
      <c r="AA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row>
    <row r="196" spans="1:81" x14ac:dyDescent="0.45">
      <c r="A196" s="2"/>
      <c r="B196" s="2"/>
      <c r="C196" s="2"/>
      <c r="D196" s="17"/>
      <c r="E196" s="2"/>
      <c r="F196" s="2"/>
      <c r="G196" s="2"/>
      <c r="H196" s="2"/>
      <c r="I196" s="2"/>
      <c r="J196" s="2"/>
      <c r="K196" s="17"/>
      <c r="L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row>
    <row r="197" spans="1:81" x14ac:dyDescent="0.45">
      <c r="A197" s="2"/>
      <c r="B197" s="2"/>
      <c r="C197" s="2"/>
      <c r="D197" s="2"/>
      <c r="E197" s="2"/>
      <c r="F197" s="2"/>
      <c r="G197" s="2"/>
      <c r="H197" s="2"/>
      <c r="I197" s="2"/>
      <c r="J197" s="2"/>
      <c r="K197" s="2"/>
      <c r="L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row>
    <row r="198" spans="1:81" x14ac:dyDescent="0.45">
      <c r="A198" s="1" t="s">
        <v>222</v>
      </c>
      <c r="L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row>
    <row r="199" spans="1:81" x14ac:dyDescent="0.45">
      <c r="A199" s="1" t="s">
        <v>26</v>
      </c>
      <c r="C199" s="2"/>
      <c r="D199" s="2"/>
      <c r="E199" s="2"/>
      <c r="F199" s="2"/>
      <c r="G199" s="2"/>
      <c r="H199" s="2"/>
      <c r="I199" s="2"/>
      <c r="J199" s="2"/>
      <c r="K199" s="2"/>
      <c r="L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row>
    <row r="200" spans="1:81" x14ac:dyDescent="0.45">
      <c r="A200" s="2" t="s">
        <v>31</v>
      </c>
      <c r="B200" s="2"/>
      <c r="C200" s="2"/>
      <c r="D200" s="2"/>
      <c r="E200" s="2"/>
      <c r="F200" s="2"/>
      <c r="G200" s="2"/>
      <c r="H200" s="2"/>
      <c r="I200" s="2"/>
      <c r="J200" s="2"/>
      <c r="K200" s="2"/>
      <c r="L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row>
    <row r="201" spans="1:81" x14ac:dyDescent="0.45">
      <c r="A201" s="2"/>
      <c r="B201" s="1" t="s">
        <v>20</v>
      </c>
      <c r="C201" s="180"/>
      <c r="D201" s="180"/>
      <c r="E201" s="180"/>
      <c r="F201" s="1" t="s">
        <v>21</v>
      </c>
      <c r="G201" s="180"/>
      <c r="H201" s="180"/>
      <c r="I201" s="180"/>
      <c r="J201" s="180"/>
      <c r="K201" s="180"/>
      <c r="L201" s="2"/>
      <c r="Z201" s="2"/>
      <c r="AA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row>
    <row r="202" spans="1:81" x14ac:dyDescent="0.45">
      <c r="A202" s="26" t="s">
        <v>19</v>
      </c>
      <c r="B202" s="88">
        <v>13</v>
      </c>
      <c r="C202" s="91">
        <v>18</v>
      </c>
      <c r="D202" s="91">
        <v>23</v>
      </c>
      <c r="E202" s="91">
        <v>28</v>
      </c>
      <c r="F202" s="91">
        <v>3</v>
      </c>
      <c r="G202" s="91">
        <v>8</v>
      </c>
      <c r="H202" s="91">
        <v>13</v>
      </c>
      <c r="I202" s="91">
        <v>18</v>
      </c>
      <c r="J202" s="91">
        <v>23</v>
      </c>
      <c r="K202" s="8" t="s">
        <v>24</v>
      </c>
      <c r="L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row>
    <row r="203" spans="1:81" x14ac:dyDescent="0.45">
      <c r="A203" s="3" t="s">
        <v>1</v>
      </c>
      <c r="G203">
        <v>1</v>
      </c>
      <c r="J203">
        <v>2</v>
      </c>
      <c r="K203" s="86">
        <f t="shared" ref="K203:K237" si="38">SUM(B203:J203)</f>
        <v>3</v>
      </c>
      <c r="N203" s="2"/>
      <c r="O203" s="2"/>
      <c r="P203" s="2"/>
      <c r="Q203" s="2"/>
      <c r="R203" s="2"/>
      <c r="S203" s="2"/>
      <c r="T203" s="2"/>
      <c r="U203" s="2"/>
      <c r="V203" s="2"/>
      <c r="W203" s="2"/>
      <c r="X203" s="2"/>
      <c r="Y203" s="2"/>
    </row>
    <row r="204" spans="1:81" x14ac:dyDescent="0.45">
      <c r="A204" s="83" t="s">
        <v>49</v>
      </c>
      <c r="K204" s="86">
        <f t="shared" si="38"/>
        <v>0</v>
      </c>
    </row>
    <row r="205" spans="1:81" x14ac:dyDescent="0.45">
      <c r="A205" s="83" t="s">
        <v>45</v>
      </c>
      <c r="K205" s="86">
        <f t="shared" si="38"/>
        <v>0</v>
      </c>
    </row>
    <row r="206" spans="1:81" x14ac:dyDescent="0.45">
      <c r="A206" s="83" t="s">
        <v>41</v>
      </c>
      <c r="K206" s="86">
        <f t="shared" si="38"/>
        <v>0</v>
      </c>
      <c r="O206" s="2"/>
      <c r="P206" s="2"/>
      <c r="Q206" s="2"/>
      <c r="R206" s="2"/>
      <c r="S206" s="2"/>
      <c r="T206" s="2"/>
      <c r="U206" s="2"/>
      <c r="V206" s="2"/>
      <c r="W206" s="2"/>
      <c r="X206" s="2"/>
      <c r="Y206" s="2"/>
    </row>
    <row r="207" spans="1:81" x14ac:dyDescent="0.45">
      <c r="A207" s="3" t="s">
        <v>2</v>
      </c>
      <c r="G207">
        <v>2</v>
      </c>
      <c r="K207" s="86">
        <f t="shared" si="38"/>
        <v>2</v>
      </c>
      <c r="O207" s="2"/>
      <c r="P207" s="2"/>
      <c r="Q207" s="2"/>
      <c r="R207" s="2"/>
      <c r="S207" s="2"/>
      <c r="T207" s="2"/>
      <c r="U207" s="2"/>
      <c r="V207" s="2"/>
      <c r="W207" s="2"/>
      <c r="X207" s="2"/>
      <c r="Y207" s="2"/>
    </row>
    <row r="208" spans="1:81" s="2" customFormat="1" x14ac:dyDescent="0.45">
      <c r="A208" s="83" t="s">
        <v>43</v>
      </c>
      <c r="B208"/>
      <c r="C208"/>
      <c r="D208"/>
      <c r="E208"/>
      <c r="F208"/>
      <c r="G208"/>
      <c r="H208"/>
      <c r="I208"/>
      <c r="J208"/>
      <c r="K208" s="86">
        <f t="shared" si="38"/>
        <v>0</v>
      </c>
      <c r="L208"/>
      <c r="N208"/>
      <c r="O208"/>
      <c r="P208"/>
      <c r="Q208"/>
      <c r="R208"/>
      <c r="S208"/>
      <c r="T208"/>
      <c r="U208"/>
      <c r="V208"/>
      <c r="W208"/>
      <c r="X208"/>
      <c r="Y208"/>
      <c r="Z208"/>
      <c r="AA208"/>
      <c r="AB208"/>
      <c r="AC208"/>
      <c r="AD208"/>
      <c r="AE208"/>
      <c r="AF208"/>
      <c r="AG208"/>
      <c r="AH208"/>
      <c r="AI208"/>
      <c r="AJ208"/>
      <c r="AK208"/>
      <c r="AL208"/>
      <c r="AM208"/>
    </row>
    <row r="209" spans="1:39" x14ac:dyDescent="0.45">
      <c r="A209" s="3" t="s">
        <v>3</v>
      </c>
      <c r="E209">
        <v>2</v>
      </c>
      <c r="K209" s="86">
        <f t="shared" si="38"/>
        <v>2</v>
      </c>
    </row>
    <row r="210" spans="1:39" x14ac:dyDescent="0.45">
      <c r="A210" s="3" t="s">
        <v>4</v>
      </c>
      <c r="K210" s="86">
        <f t="shared" si="38"/>
        <v>0</v>
      </c>
    </row>
    <row r="211" spans="1:39" x14ac:dyDescent="0.45">
      <c r="A211" s="83" t="s">
        <v>48</v>
      </c>
      <c r="K211" s="86">
        <f t="shared" si="38"/>
        <v>0</v>
      </c>
    </row>
    <row r="212" spans="1:39" x14ac:dyDescent="0.45">
      <c r="A212" s="3" t="s">
        <v>6</v>
      </c>
      <c r="K212" s="86">
        <f t="shared" si="38"/>
        <v>0</v>
      </c>
    </row>
    <row r="213" spans="1:39" x14ac:dyDescent="0.45">
      <c r="A213" s="3" t="s">
        <v>7</v>
      </c>
      <c r="K213" s="86">
        <f t="shared" si="38"/>
        <v>0</v>
      </c>
    </row>
    <row r="214" spans="1:39" x14ac:dyDescent="0.45">
      <c r="A214" s="101" t="s">
        <v>83</v>
      </c>
      <c r="K214" s="86">
        <f t="shared" si="38"/>
        <v>0</v>
      </c>
    </row>
    <row r="215" spans="1:39" x14ac:dyDescent="0.45">
      <c r="A215" s="83" t="s">
        <v>50</v>
      </c>
      <c r="K215" s="86">
        <f t="shared" si="38"/>
        <v>0</v>
      </c>
      <c r="Z215" s="2"/>
      <c r="AA215" s="2"/>
    </row>
    <row r="216" spans="1:39" x14ac:dyDescent="0.45">
      <c r="A216" s="83" t="s">
        <v>51</v>
      </c>
      <c r="K216" s="86">
        <f t="shared" si="38"/>
        <v>0</v>
      </c>
    </row>
    <row r="217" spans="1:39" x14ac:dyDescent="0.45">
      <c r="A217" s="83" t="s">
        <v>42</v>
      </c>
      <c r="K217" s="86">
        <f t="shared" si="38"/>
        <v>0</v>
      </c>
    </row>
    <row r="218" spans="1:39" x14ac:dyDescent="0.45">
      <c r="A218" s="3" t="s">
        <v>8</v>
      </c>
      <c r="G218">
        <v>1</v>
      </c>
      <c r="H218">
        <v>13</v>
      </c>
      <c r="I218">
        <v>7</v>
      </c>
      <c r="K218" s="86">
        <f t="shared" si="38"/>
        <v>21</v>
      </c>
    </row>
    <row r="219" spans="1:39" x14ac:dyDescent="0.45">
      <c r="A219" s="3" t="s">
        <v>9</v>
      </c>
      <c r="F219">
        <v>21</v>
      </c>
      <c r="G219">
        <v>44</v>
      </c>
      <c r="H219">
        <v>3</v>
      </c>
      <c r="I219">
        <v>45</v>
      </c>
      <c r="K219" s="86">
        <f t="shared" si="38"/>
        <v>113</v>
      </c>
    </row>
    <row r="220" spans="1:39" x14ac:dyDescent="0.45">
      <c r="A220" s="83" t="s">
        <v>44</v>
      </c>
      <c r="K220" s="86">
        <f t="shared" si="38"/>
        <v>0</v>
      </c>
    </row>
    <row r="221" spans="1:39" x14ac:dyDescent="0.45">
      <c r="A221" s="3" t="s">
        <v>10</v>
      </c>
      <c r="G221">
        <v>11</v>
      </c>
      <c r="I221">
        <v>1</v>
      </c>
      <c r="K221" s="86">
        <f t="shared" si="38"/>
        <v>12</v>
      </c>
    </row>
    <row r="222" spans="1:39" s="2" customFormat="1" x14ac:dyDescent="0.45">
      <c r="A222" s="3" t="s">
        <v>11</v>
      </c>
      <c r="B222"/>
      <c r="C222"/>
      <c r="D222"/>
      <c r="E222"/>
      <c r="F222"/>
      <c r="G222"/>
      <c r="H222"/>
      <c r="I222"/>
      <c r="J222"/>
      <c r="K222" s="86">
        <f t="shared" si="38"/>
        <v>0</v>
      </c>
      <c r="L222"/>
      <c r="N222"/>
      <c r="O222"/>
      <c r="P222"/>
      <c r="Q222"/>
      <c r="R222"/>
      <c r="S222"/>
      <c r="T222"/>
      <c r="U222"/>
      <c r="V222"/>
      <c r="W222"/>
      <c r="X222"/>
      <c r="Y222"/>
      <c r="Z222"/>
      <c r="AA222"/>
      <c r="AB222"/>
      <c r="AC222"/>
      <c r="AD222"/>
      <c r="AE222"/>
      <c r="AF222"/>
      <c r="AG222"/>
      <c r="AH222"/>
      <c r="AI222"/>
      <c r="AJ222"/>
      <c r="AK222"/>
      <c r="AL222"/>
      <c r="AM222"/>
    </row>
    <row r="223" spans="1:39" x14ac:dyDescent="0.45">
      <c r="A223" s="3" t="s">
        <v>12</v>
      </c>
      <c r="H223">
        <v>1</v>
      </c>
      <c r="K223" s="86">
        <f t="shared" si="38"/>
        <v>1</v>
      </c>
    </row>
    <row r="224" spans="1:39" x14ac:dyDescent="0.45">
      <c r="A224" s="83" t="s">
        <v>32</v>
      </c>
      <c r="K224" s="86">
        <f t="shared" si="38"/>
        <v>0</v>
      </c>
    </row>
    <row r="225" spans="1:25" x14ac:dyDescent="0.45">
      <c r="A225" s="3" t="s">
        <v>18</v>
      </c>
      <c r="G225">
        <v>30</v>
      </c>
      <c r="J225">
        <v>2</v>
      </c>
      <c r="K225" s="86">
        <f t="shared" si="38"/>
        <v>32</v>
      </c>
    </row>
    <row r="226" spans="1:25" x14ac:dyDescent="0.45">
      <c r="A226" s="83" t="s">
        <v>46</v>
      </c>
      <c r="K226" s="86">
        <f t="shared" si="38"/>
        <v>0</v>
      </c>
    </row>
    <row r="227" spans="1:25" x14ac:dyDescent="0.45">
      <c r="A227" s="3" t="s">
        <v>13</v>
      </c>
      <c r="K227" s="86">
        <f t="shared" si="38"/>
        <v>0</v>
      </c>
    </row>
    <row r="228" spans="1:25" x14ac:dyDescent="0.45">
      <c r="A228" s="3" t="s">
        <v>14</v>
      </c>
      <c r="K228" s="86">
        <f t="shared" si="38"/>
        <v>0</v>
      </c>
    </row>
    <row r="229" spans="1:25" x14ac:dyDescent="0.45">
      <c r="A229" s="83" t="s">
        <v>40</v>
      </c>
      <c r="K229" s="86">
        <f t="shared" si="38"/>
        <v>0</v>
      </c>
      <c r="N229" s="2"/>
    </row>
    <row r="230" spans="1:25" x14ac:dyDescent="0.45">
      <c r="A230" s="83" t="s">
        <v>52</v>
      </c>
      <c r="K230" s="86">
        <f t="shared" si="38"/>
        <v>0</v>
      </c>
    </row>
    <row r="231" spans="1:25" x14ac:dyDescent="0.45">
      <c r="A231" s="83" t="s">
        <v>53</v>
      </c>
      <c r="K231" s="86">
        <f t="shared" si="38"/>
        <v>0</v>
      </c>
      <c r="O231" s="2"/>
      <c r="P231" s="2"/>
      <c r="Q231" s="2"/>
      <c r="R231" s="2"/>
      <c r="S231" s="2"/>
      <c r="T231" s="2"/>
      <c r="U231" s="2"/>
      <c r="V231" s="2"/>
      <c r="W231" s="2"/>
      <c r="X231" s="2"/>
      <c r="Y231" s="2"/>
    </row>
    <row r="232" spans="1:25" x14ac:dyDescent="0.45">
      <c r="A232" s="3" t="s">
        <v>15</v>
      </c>
      <c r="K232" s="86">
        <f t="shared" si="38"/>
        <v>0</v>
      </c>
    </row>
    <row r="233" spans="1:25" x14ac:dyDescent="0.45">
      <c r="A233" s="83" t="s">
        <v>54</v>
      </c>
      <c r="J233">
        <v>1</v>
      </c>
      <c r="K233" s="86">
        <f t="shared" si="38"/>
        <v>1</v>
      </c>
    </row>
    <row r="234" spans="1:25" x14ac:dyDescent="0.45">
      <c r="A234" s="83" t="s">
        <v>47</v>
      </c>
      <c r="K234" s="86">
        <f t="shared" si="38"/>
        <v>0</v>
      </c>
    </row>
    <row r="235" spans="1:25" x14ac:dyDescent="0.45">
      <c r="A235" s="3" t="s">
        <v>16</v>
      </c>
      <c r="K235" s="86">
        <f t="shared" si="38"/>
        <v>0</v>
      </c>
    </row>
    <row r="236" spans="1:25" x14ac:dyDescent="0.45">
      <c r="A236" s="83" t="s">
        <v>55</v>
      </c>
      <c r="K236" s="86">
        <f t="shared" si="38"/>
        <v>0</v>
      </c>
    </row>
    <row r="237" spans="1:25" x14ac:dyDescent="0.45">
      <c r="A237" s="78" t="s">
        <v>17</v>
      </c>
      <c r="K237" s="86">
        <f t="shared" si="38"/>
        <v>0</v>
      </c>
    </row>
    <row r="238" spans="1:25" x14ac:dyDescent="0.45">
      <c r="A238" s="178" t="s">
        <v>24</v>
      </c>
      <c r="B238" s="159">
        <f>SUM(B203:B237)</f>
        <v>0</v>
      </c>
      <c r="C238" s="160">
        <f t="shared" ref="C238" si="39">SUM(C203:C237)</f>
        <v>0</v>
      </c>
      <c r="D238" s="160">
        <f t="shared" ref="D238" si="40">SUM(D203:D237)</f>
        <v>0</v>
      </c>
      <c r="E238" s="160">
        <f t="shared" ref="E238" si="41">SUM(E203:E237)</f>
        <v>2</v>
      </c>
      <c r="F238" s="160">
        <f t="shared" ref="F238" si="42">SUM(F203:F237)</f>
        <v>21</v>
      </c>
      <c r="G238" s="160">
        <f t="shared" ref="G238" si="43">SUM(G203:G237)</f>
        <v>89</v>
      </c>
      <c r="H238" s="160">
        <f t="shared" ref="H238" si="44">SUM(H203:H237)</f>
        <v>17</v>
      </c>
      <c r="I238" s="160">
        <f t="shared" ref="I238" si="45">SUM(I203:I237)</f>
        <v>53</v>
      </c>
      <c r="J238" s="160">
        <f t="shared" ref="J238" si="46">SUM(J203:J237)</f>
        <v>5</v>
      </c>
      <c r="K238" s="160">
        <f t="shared" ref="K238" si="47">SUM(K203:K237)</f>
        <v>187</v>
      </c>
      <c r="L238" s="17">
        <f>SUM(B238:J238)</f>
        <v>187</v>
      </c>
    </row>
    <row r="239" spans="1:25" x14ac:dyDescent="0.45">
      <c r="A239" s="169"/>
      <c r="B239" s="21"/>
      <c r="C239" s="2"/>
      <c r="D239" s="17"/>
      <c r="E239" s="2"/>
      <c r="F239" s="2"/>
      <c r="G239" s="2"/>
      <c r="H239" s="2"/>
      <c r="I239" s="2"/>
      <c r="J239" s="2"/>
      <c r="K239" s="17"/>
      <c r="L239" s="2"/>
    </row>
    <row r="240" spans="1:25" x14ac:dyDescent="0.45">
      <c r="L240" s="2"/>
    </row>
    <row r="241" spans="1:39" x14ac:dyDescent="0.45">
      <c r="A241" s="1" t="s">
        <v>222</v>
      </c>
      <c r="L241" s="2"/>
      <c r="N241" s="2"/>
    </row>
    <row r="242" spans="1:39" x14ac:dyDescent="0.45">
      <c r="A242" s="1" t="s">
        <v>27</v>
      </c>
      <c r="C242" s="2"/>
      <c r="D242" s="2"/>
      <c r="E242" s="2"/>
      <c r="F242" s="2"/>
      <c r="G242" s="2"/>
      <c r="H242" s="2"/>
      <c r="I242" s="2"/>
      <c r="J242" s="2"/>
      <c r="K242" s="2"/>
      <c r="L242" s="2"/>
    </row>
    <row r="243" spans="1:39" x14ac:dyDescent="0.45">
      <c r="A243" s="2" t="s">
        <v>31</v>
      </c>
      <c r="B243" s="2"/>
      <c r="C243" s="2"/>
      <c r="D243" s="2"/>
      <c r="E243" s="2"/>
      <c r="F243" s="2"/>
      <c r="G243" s="2"/>
      <c r="H243" s="2"/>
      <c r="I243" s="2"/>
      <c r="J243" s="2"/>
      <c r="K243" s="2"/>
      <c r="L243" s="2"/>
    </row>
    <row r="244" spans="1:39" x14ac:dyDescent="0.45">
      <c r="A244" s="2"/>
      <c r="B244" s="1" t="s">
        <v>20</v>
      </c>
      <c r="C244" s="180"/>
      <c r="D244" s="180"/>
      <c r="E244" s="180"/>
      <c r="F244" s="1" t="s">
        <v>21</v>
      </c>
      <c r="G244" s="180"/>
      <c r="H244" s="180"/>
      <c r="I244" s="180"/>
      <c r="J244" s="180"/>
      <c r="K244" s="180"/>
      <c r="L244" s="2"/>
    </row>
    <row r="245" spans="1:39" x14ac:dyDescent="0.45">
      <c r="A245" s="26" t="s">
        <v>19</v>
      </c>
      <c r="B245" s="88">
        <v>13</v>
      </c>
      <c r="C245" s="91">
        <v>18</v>
      </c>
      <c r="D245" s="91">
        <v>23</v>
      </c>
      <c r="E245" s="91">
        <v>28</v>
      </c>
      <c r="F245" s="91">
        <v>3</v>
      </c>
      <c r="G245" s="91">
        <v>8</v>
      </c>
      <c r="H245" s="91">
        <v>13</v>
      </c>
      <c r="I245" s="91">
        <v>18</v>
      </c>
      <c r="J245" s="91">
        <v>23</v>
      </c>
      <c r="K245" s="8" t="s">
        <v>24</v>
      </c>
      <c r="L245" s="2"/>
    </row>
    <row r="246" spans="1:39" x14ac:dyDescent="0.45">
      <c r="A246" s="3" t="s">
        <v>1</v>
      </c>
      <c r="F246">
        <v>1</v>
      </c>
      <c r="G246">
        <v>3</v>
      </c>
      <c r="H246">
        <v>3</v>
      </c>
      <c r="I246">
        <v>11</v>
      </c>
      <c r="K246" s="86">
        <f t="shared" ref="K246:K280" si="48">SUM(B246:J246)</f>
        <v>18</v>
      </c>
    </row>
    <row r="247" spans="1:39" x14ac:dyDescent="0.45">
      <c r="A247" s="83" t="s">
        <v>49</v>
      </c>
      <c r="K247" s="86">
        <f t="shared" si="48"/>
        <v>0</v>
      </c>
      <c r="O247" s="17"/>
    </row>
    <row r="248" spans="1:39" x14ac:dyDescent="0.45">
      <c r="A248" s="83" t="s">
        <v>45</v>
      </c>
      <c r="I248">
        <v>2</v>
      </c>
      <c r="K248" s="86">
        <f t="shared" si="48"/>
        <v>2</v>
      </c>
      <c r="O248" s="17"/>
    </row>
    <row r="249" spans="1:39" x14ac:dyDescent="0.45">
      <c r="A249" s="83" t="s">
        <v>41</v>
      </c>
      <c r="K249" s="86">
        <f t="shared" si="48"/>
        <v>0</v>
      </c>
      <c r="O249" s="17"/>
    </row>
    <row r="250" spans="1:39" s="2" customFormat="1" x14ac:dyDescent="0.45">
      <c r="A250" s="3" t="s">
        <v>2</v>
      </c>
      <c r="B250"/>
      <c r="C250"/>
      <c r="D250"/>
      <c r="E250"/>
      <c r="F250"/>
      <c r="G250"/>
      <c r="H250"/>
      <c r="I250"/>
      <c r="J250"/>
      <c r="K250" s="86">
        <f t="shared" si="48"/>
        <v>0</v>
      </c>
      <c r="L250"/>
      <c r="N250"/>
      <c r="O250" s="17"/>
      <c r="P250"/>
      <c r="Q250"/>
      <c r="R250"/>
      <c r="S250"/>
      <c r="T250"/>
      <c r="U250"/>
      <c r="V250"/>
      <c r="W250"/>
      <c r="X250"/>
      <c r="Y250"/>
      <c r="AB250"/>
      <c r="AC250"/>
      <c r="AD250"/>
      <c r="AE250"/>
      <c r="AF250"/>
      <c r="AG250"/>
      <c r="AH250"/>
      <c r="AI250"/>
      <c r="AJ250"/>
      <c r="AK250"/>
      <c r="AL250"/>
      <c r="AM250"/>
    </row>
    <row r="251" spans="1:39" x14ac:dyDescent="0.45">
      <c r="A251" s="83" t="s">
        <v>43</v>
      </c>
      <c r="K251" s="86">
        <f t="shared" si="48"/>
        <v>0</v>
      </c>
      <c r="O251" s="17"/>
    </row>
    <row r="252" spans="1:39" x14ac:dyDescent="0.45">
      <c r="A252" s="3" t="s">
        <v>3</v>
      </c>
      <c r="C252">
        <v>15</v>
      </c>
      <c r="D252">
        <v>10</v>
      </c>
      <c r="E252">
        <v>6</v>
      </c>
      <c r="F252">
        <v>2</v>
      </c>
      <c r="G252">
        <v>6</v>
      </c>
      <c r="I252">
        <v>1</v>
      </c>
      <c r="J252">
        <v>2</v>
      </c>
      <c r="K252" s="86">
        <f t="shared" si="48"/>
        <v>42</v>
      </c>
      <c r="O252" s="17"/>
    </row>
    <row r="253" spans="1:39" x14ac:dyDescent="0.45">
      <c r="A253" s="3" t="s">
        <v>4</v>
      </c>
      <c r="K253" s="86">
        <f t="shared" si="48"/>
        <v>0</v>
      </c>
      <c r="O253" s="17"/>
    </row>
    <row r="254" spans="1:39" x14ac:dyDescent="0.45">
      <c r="A254" s="83" t="s">
        <v>48</v>
      </c>
      <c r="K254" s="86">
        <f t="shared" si="48"/>
        <v>0</v>
      </c>
      <c r="O254" s="17"/>
    </row>
    <row r="255" spans="1:39" x14ac:dyDescent="0.45">
      <c r="A255" s="3" t="s">
        <v>6</v>
      </c>
      <c r="K255" s="86">
        <f t="shared" si="48"/>
        <v>0</v>
      </c>
      <c r="O255" s="17"/>
    </row>
    <row r="256" spans="1:39" x14ac:dyDescent="0.45">
      <c r="A256" s="3" t="s">
        <v>7</v>
      </c>
      <c r="E256">
        <v>1</v>
      </c>
      <c r="F256">
        <v>17</v>
      </c>
      <c r="H256">
        <v>3</v>
      </c>
      <c r="K256" s="86">
        <f t="shared" si="48"/>
        <v>21</v>
      </c>
      <c r="O256" s="17"/>
    </row>
    <row r="257" spans="1:39" x14ac:dyDescent="0.45">
      <c r="A257" s="101" t="s">
        <v>83</v>
      </c>
      <c r="K257" s="86">
        <f t="shared" si="48"/>
        <v>0</v>
      </c>
      <c r="O257" s="17"/>
    </row>
    <row r="258" spans="1:39" x14ac:dyDescent="0.45">
      <c r="A258" s="83" t="s">
        <v>50</v>
      </c>
      <c r="K258" s="86">
        <f t="shared" si="48"/>
        <v>0</v>
      </c>
      <c r="O258" s="17"/>
    </row>
    <row r="259" spans="1:39" x14ac:dyDescent="0.45">
      <c r="A259" s="83" t="s">
        <v>51</v>
      </c>
      <c r="K259" s="86">
        <f t="shared" si="48"/>
        <v>0</v>
      </c>
      <c r="O259" s="17"/>
    </row>
    <row r="260" spans="1:39" x14ac:dyDescent="0.45">
      <c r="A260" s="83" t="s">
        <v>42</v>
      </c>
      <c r="F260">
        <v>1</v>
      </c>
      <c r="K260" s="86">
        <f t="shared" si="48"/>
        <v>1</v>
      </c>
      <c r="O260" s="17"/>
    </row>
    <row r="261" spans="1:39" x14ac:dyDescent="0.45">
      <c r="A261" s="3" t="s">
        <v>8</v>
      </c>
      <c r="K261" s="86">
        <f t="shared" si="48"/>
        <v>0</v>
      </c>
      <c r="O261" s="17"/>
    </row>
    <row r="262" spans="1:39" x14ac:dyDescent="0.45">
      <c r="A262" s="3" t="s">
        <v>9</v>
      </c>
      <c r="K262" s="86">
        <f t="shared" si="48"/>
        <v>0</v>
      </c>
      <c r="O262" s="17"/>
    </row>
    <row r="263" spans="1:39" s="2" customFormat="1" x14ac:dyDescent="0.45">
      <c r="A263" s="83" t="s">
        <v>44</v>
      </c>
      <c r="B263"/>
      <c r="C263"/>
      <c r="D263"/>
      <c r="E263"/>
      <c r="F263"/>
      <c r="G263"/>
      <c r="H263"/>
      <c r="I263"/>
      <c r="J263"/>
      <c r="K263" s="86">
        <f t="shared" si="48"/>
        <v>0</v>
      </c>
      <c r="L263"/>
      <c r="N263"/>
      <c r="O263" s="17"/>
      <c r="P263"/>
      <c r="Q263"/>
      <c r="R263"/>
      <c r="S263"/>
      <c r="T263"/>
      <c r="U263"/>
      <c r="V263"/>
      <c r="W263"/>
      <c r="X263"/>
      <c r="Y263"/>
      <c r="AB263"/>
      <c r="AC263"/>
      <c r="AD263"/>
      <c r="AE263"/>
      <c r="AF263"/>
      <c r="AG263"/>
      <c r="AH263"/>
      <c r="AI263"/>
      <c r="AJ263"/>
      <c r="AK263"/>
      <c r="AL263"/>
      <c r="AM263"/>
    </row>
    <row r="264" spans="1:39" x14ac:dyDescent="0.45">
      <c r="A264" s="3" t="s">
        <v>10</v>
      </c>
      <c r="K264" s="86">
        <f t="shared" si="48"/>
        <v>0</v>
      </c>
      <c r="O264" s="17"/>
    </row>
    <row r="265" spans="1:39" x14ac:dyDescent="0.45">
      <c r="A265" s="3" t="s">
        <v>11</v>
      </c>
      <c r="G265">
        <v>4</v>
      </c>
      <c r="H265">
        <v>200</v>
      </c>
      <c r="K265" s="86">
        <f t="shared" si="48"/>
        <v>204</v>
      </c>
      <c r="O265" s="17"/>
    </row>
    <row r="266" spans="1:39" s="2" customFormat="1" x14ac:dyDescent="0.45">
      <c r="A266" s="3" t="s">
        <v>12</v>
      </c>
      <c r="B266"/>
      <c r="C266"/>
      <c r="D266"/>
      <c r="E266"/>
      <c r="F266">
        <v>16</v>
      </c>
      <c r="G266"/>
      <c r="H266"/>
      <c r="I266"/>
      <c r="J266"/>
      <c r="K266" s="86">
        <f t="shared" si="48"/>
        <v>16</v>
      </c>
      <c r="L266"/>
      <c r="N266"/>
      <c r="O266" s="17"/>
      <c r="P266"/>
      <c r="Q266"/>
      <c r="R266"/>
      <c r="S266"/>
      <c r="T266"/>
      <c r="U266"/>
      <c r="V266"/>
      <c r="W266"/>
      <c r="X266"/>
      <c r="Y266"/>
      <c r="AB266"/>
      <c r="AC266"/>
      <c r="AD266"/>
      <c r="AE266"/>
      <c r="AF266"/>
      <c r="AG266"/>
      <c r="AH266"/>
      <c r="AI266"/>
      <c r="AJ266"/>
      <c r="AK266"/>
      <c r="AL266"/>
      <c r="AM266"/>
    </row>
    <row r="267" spans="1:39" s="2" customFormat="1" x14ac:dyDescent="0.45">
      <c r="A267" s="83" t="s">
        <v>32</v>
      </c>
      <c r="B267"/>
      <c r="C267"/>
      <c r="D267"/>
      <c r="E267"/>
      <c r="F267"/>
      <c r="G267"/>
      <c r="H267"/>
      <c r="I267"/>
      <c r="J267"/>
      <c r="K267" s="86">
        <f t="shared" si="48"/>
        <v>0</v>
      </c>
      <c r="L267"/>
      <c r="N267"/>
      <c r="O267" s="17"/>
      <c r="P267"/>
      <c r="Q267"/>
      <c r="R267"/>
      <c r="S267"/>
      <c r="T267"/>
      <c r="U267"/>
      <c r="V267"/>
      <c r="W267"/>
      <c r="X267"/>
      <c r="Y267"/>
      <c r="AB267"/>
      <c r="AC267"/>
      <c r="AD267"/>
      <c r="AE267"/>
      <c r="AF267"/>
      <c r="AG267"/>
      <c r="AH267"/>
      <c r="AI267"/>
      <c r="AJ267"/>
      <c r="AK267"/>
      <c r="AL267"/>
      <c r="AM267"/>
    </row>
    <row r="268" spans="1:39" x14ac:dyDescent="0.45">
      <c r="A268" s="3" t="s">
        <v>18</v>
      </c>
      <c r="G268">
        <v>50</v>
      </c>
      <c r="I268">
        <v>36</v>
      </c>
      <c r="K268" s="86">
        <f t="shared" si="48"/>
        <v>86</v>
      </c>
      <c r="O268" s="17"/>
    </row>
    <row r="269" spans="1:39" x14ac:dyDescent="0.45">
      <c r="A269" s="83" t="s">
        <v>46</v>
      </c>
      <c r="K269" s="86">
        <f t="shared" si="48"/>
        <v>0</v>
      </c>
      <c r="O269" s="17"/>
    </row>
    <row r="270" spans="1:39" x14ac:dyDescent="0.45">
      <c r="A270" s="3" t="s">
        <v>13</v>
      </c>
      <c r="K270" s="86">
        <f t="shared" si="48"/>
        <v>0</v>
      </c>
      <c r="N270" s="2"/>
      <c r="O270" s="17"/>
      <c r="Y270" s="17"/>
    </row>
    <row r="271" spans="1:39" x14ac:dyDescent="0.45">
      <c r="A271" s="3" t="s">
        <v>14</v>
      </c>
      <c r="H271">
        <v>1</v>
      </c>
      <c r="K271" s="86">
        <f t="shared" si="48"/>
        <v>1</v>
      </c>
      <c r="O271" s="17"/>
    </row>
    <row r="272" spans="1:39" x14ac:dyDescent="0.45">
      <c r="A272" s="83" t="s">
        <v>40</v>
      </c>
      <c r="K272" s="86">
        <f t="shared" si="48"/>
        <v>0</v>
      </c>
      <c r="O272" s="17"/>
      <c r="S272" s="17"/>
    </row>
    <row r="273" spans="1:15" x14ac:dyDescent="0.45">
      <c r="A273" s="83" t="s">
        <v>52</v>
      </c>
      <c r="K273" s="86">
        <f t="shared" si="48"/>
        <v>0</v>
      </c>
      <c r="O273" s="17"/>
    </row>
    <row r="274" spans="1:15" x14ac:dyDescent="0.45">
      <c r="A274" s="83" t="s">
        <v>53</v>
      </c>
      <c r="K274" s="86">
        <f t="shared" si="48"/>
        <v>0</v>
      </c>
      <c r="O274" s="17"/>
    </row>
    <row r="275" spans="1:15" x14ac:dyDescent="0.45">
      <c r="A275" s="3" t="s">
        <v>15</v>
      </c>
      <c r="J275">
        <v>2</v>
      </c>
      <c r="K275" s="86">
        <f t="shared" si="48"/>
        <v>2</v>
      </c>
      <c r="O275" s="17"/>
    </row>
    <row r="276" spans="1:15" x14ac:dyDescent="0.45">
      <c r="A276" s="83" t="s">
        <v>54</v>
      </c>
      <c r="J276">
        <v>1</v>
      </c>
      <c r="K276" s="86">
        <f t="shared" si="48"/>
        <v>1</v>
      </c>
      <c r="O276" s="17"/>
    </row>
    <row r="277" spans="1:15" x14ac:dyDescent="0.45">
      <c r="A277" s="83" t="s">
        <v>47</v>
      </c>
      <c r="H277">
        <v>11</v>
      </c>
      <c r="I277">
        <v>12</v>
      </c>
      <c r="K277" s="86">
        <f t="shared" si="48"/>
        <v>23</v>
      </c>
      <c r="O277" s="17"/>
    </row>
    <row r="278" spans="1:15" x14ac:dyDescent="0.45">
      <c r="A278" s="3" t="s">
        <v>16</v>
      </c>
      <c r="D278">
        <v>1</v>
      </c>
      <c r="H278">
        <v>1</v>
      </c>
      <c r="K278" s="86">
        <f t="shared" si="48"/>
        <v>2</v>
      </c>
      <c r="O278" s="17"/>
    </row>
    <row r="279" spans="1:15" x14ac:dyDescent="0.45">
      <c r="A279" s="83" t="s">
        <v>55</v>
      </c>
      <c r="K279" s="86">
        <f t="shared" si="48"/>
        <v>0</v>
      </c>
      <c r="O279" s="17"/>
    </row>
    <row r="280" spans="1:15" x14ac:dyDescent="0.45">
      <c r="A280" s="78" t="s">
        <v>17</v>
      </c>
      <c r="J280">
        <v>1</v>
      </c>
      <c r="K280" s="86">
        <f t="shared" si="48"/>
        <v>1</v>
      </c>
      <c r="O280" s="17"/>
    </row>
    <row r="281" spans="1:15" x14ac:dyDescent="0.45">
      <c r="A281" s="178" t="s">
        <v>24</v>
      </c>
      <c r="B281" s="159">
        <f>SUM(B246:B280)</f>
        <v>0</v>
      </c>
      <c r="C281" s="160">
        <f t="shared" ref="C281" si="49">SUM(C246:C280)</f>
        <v>15</v>
      </c>
      <c r="D281" s="160">
        <f t="shared" ref="D281" si="50">SUM(D246:D280)</f>
        <v>11</v>
      </c>
      <c r="E281" s="160">
        <f t="shared" ref="E281" si="51">SUM(E246:E280)</f>
        <v>7</v>
      </c>
      <c r="F281" s="160">
        <f t="shared" ref="F281" si="52">SUM(F246:F280)</f>
        <v>37</v>
      </c>
      <c r="G281" s="160">
        <f t="shared" ref="G281" si="53">SUM(G246:G280)</f>
        <v>63</v>
      </c>
      <c r="H281" s="160">
        <f t="shared" ref="H281" si="54">SUM(H246:H280)</f>
        <v>219</v>
      </c>
      <c r="I281" s="160">
        <f t="shared" ref="I281" si="55">SUM(I246:I280)</f>
        <v>62</v>
      </c>
      <c r="J281" s="160">
        <f t="shared" ref="J281" si="56">SUM(J246:J280)</f>
        <v>6</v>
      </c>
      <c r="K281" s="160">
        <f t="shared" ref="K281" si="57">SUM(K246:K280)</f>
        <v>420</v>
      </c>
      <c r="L281" s="17">
        <f>SUM(B281:J281)</f>
        <v>420</v>
      </c>
      <c r="O281" s="17"/>
    </row>
    <row r="282" spans="1:15" x14ac:dyDescent="0.45">
      <c r="B282" s="2"/>
      <c r="C282" s="2"/>
      <c r="D282" s="17"/>
      <c r="E282" s="2"/>
      <c r="F282" s="12"/>
      <c r="G282" s="2"/>
      <c r="H282" s="2"/>
      <c r="I282" s="2"/>
      <c r="J282" s="2"/>
      <c r="K282" s="17"/>
      <c r="L282" s="2"/>
      <c r="O282" s="17"/>
    </row>
    <row r="283" spans="1:15" x14ac:dyDescent="0.45">
      <c r="B283" s="2"/>
      <c r="C283" s="2"/>
      <c r="D283" s="2"/>
      <c r="E283" s="2"/>
      <c r="F283" s="12"/>
      <c r="G283" s="2"/>
      <c r="H283" s="2"/>
      <c r="I283" s="2"/>
      <c r="J283" s="2"/>
      <c r="K283" s="2"/>
      <c r="L283" s="2"/>
      <c r="N283" s="2"/>
    </row>
    <row r="284" spans="1:15" x14ac:dyDescent="0.45">
      <c r="A284" s="1" t="s">
        <v>225</v>
      </c>
      <c r="L284" s="2"/>
    </row>
    <row r="285" spans="1:15" x14ac:dyDescent="0.45">
      <c r="A285" s="1" t="s">
        <v>28</v>
      </c>
      <c r="C285" s="2"/>
      <c r="D285" s="2"/>
      <c r="E285" s="2"/>
      <c r="F285" s="2"/>
      <c r="G285" s="2"/>
      <c r="H285" s="2"/>
      <c r="I285" s="2"/>
      <c r="J285" s="2"/>
      <c r="K285" s="2"/>
      <c r="L285" s="2"/>
    </row>
    <row r="286" spans="1:15" x14ac:dyDescent="0.45">
      <c r="A286" s="2" t="s">
        <v>31</v>
      </c>
      <c r="B286" s="2"/>
      <c r="C286" s="2"/>
      <c r="D286" s="2"/>
      <c r="E286" s="2"/>
      <c r="F286" s="2"/>
      <c r="G286" s="2"/>
      <c r="H286" s="2"/>
      <c r="I286" s="2"/>
      <c r="J286" s="2"/>
      <c r="K286" s="2"/>
      <c r="L286" s="2"/>
      <c r="N286" s="2"/>
    </row>
    <row r="287" spans="1:15" x14ac:dyDescent="0.45">
      <c r="A287" s="2"/>
      <c r="B287" s="1" t="s">
        <v>20</v>
      </c>
      <c r="C287" s="180"/>
      <c r="D287" s="180"/>
      <c r="E287" s="180"/>
      <c r="F287" s="1" t="s">
        <v>21</v>
      </c>
      <c r="G287" s="180"/>
      <c r="H287" s="180"/>
      <c r="I287" s="180"/>
      <c r="J287" s="180"/>
      <c r="K287" s="180"/>
      <c r="L287" s="2"/>
      <c r="N287" s="2"/>
    </row>
    <row r="288" spans="1:15" x14ac:dyDescent="0.45">
      <c r="A288" s="26" t="s">
        <v>19</v>
      </c>
      <c r="B288" s="88">
        <v>13</v>
      </c>
      <c r="C288" s="91">
        <v>18</v>
      </c>
      <c r="D288" s="91">
        <v>23</v>
      </c>
      <c r="E288" s="91">
        <v>28</v>
      </c>
      <c r="F288" s="91">
        <v>3</v>
      </c>
      <c r="G288" s="91">
        <v>8</v>
      </c>
      <c r="H288" s="91">
        <v>13</v>
      </c>
      <c r="I288" s="91">
        <v>18</v>
      </c>
      <c r="J288" s="91">
        <v>23</v>
      </c>
      <c r="K288" s="8" t="s">
        <v>24</v>
      </c>
      <c r="L288" s="2"/>
    </row>
    <row r="289" spans="1:39" x14ac:dyDescent="0.45">
      <c r="A289" s="3" t="s">
        <v>1</v>
      </c>
      <c r="K289" s="86">
        <f t="shared" ref="K289:K323" si="58">SUM(B289:J289)</f>
        <v>0</v>
      </c>
    </row>
    <row r="290" spans="1:39" x14ac:dyDescent="0.45">
      <c r="A290" s="83" t="s">
        <v>49</v>
      </c>
      <c r="K290" s="86">
        <f t="shared" si="58"/>
        <v>0</v>
      </c>
    </row>
    <row r="291" spans="1:39" x14ac:dyDescent="0.45">
      <c r="A291" s="83" t="s">
        <v>45</v>
      </c>
      <c r="K291" s="86">
        <f t="shared" si="58"/>
        <v>0</v>
      </c>
    </row>
    <row r="292" spans="1:39" x14ac:dyDescent="0.45">
      <c r="A292" s="83" t="s">
        <v>41</v>
      </c>
      <c r="K292" s="86">
        <f t="shared" si="58"/>
        <v>0</v>
      </c>
    </row>
    <row r="293" spans="1:39" s="2" customFormat="1" x14ac:dyDescent="0.45">
      <c r="A293" s="3" t="s">
        <v>2</v>
      </c>
      <c r="B293"/>
      <c r="C293"/>
      <c r="D293"/>
      <c r="E293"/>
      <c r="F293"/>
      <c r="G293"/>
      <c r="H293"/>
      <c r="I293"/>
      <c r="J293"/>
      <c r="K293" s="86">
        <f t="shared" si="58"/>
        <v>0</v>
      </c>
      <c r="L293"/>
      <c r="N293"/>
      <c r="O293"/>
      <c r="P293"/>
      <c r="Q293"/>
      <c r="R293"/>
      <c r="S293"/>
      <c r="T293"/>
      <c r="U293"/>
      <c r="V293"/>
      <c r="W293"/>
      <c r="X293"/>
      <c r="Y293"/>
      <c r="AB293"/>
      <c r="AC293"/>
      <c r="AD293"/>
      <c r="AE293"/>
      <c r="AF293"/>
      <c r="AG293"/>
      <c r="AH293"/>
      <c r="AI293"/>
      <c r="AJ293"/>
      <c r="AK293"/>
      <c r="AL293"/>
      <c r="AM293"/>
    </row>
    <row r="294" spans="1:39" x14ac:dyDescent="0.45">
      <c r="A294" s="83" t="s">
        <v>43</v>
      </c>
      <c r="D294">
        <v>2</v>
      </c>
      <c r="E294">
        <v>3</v>
      </c>
      <c r="G294">
        <v>4</v>
      </c>
      <c r="H294">
        <v>4</v>
      </c>
      <c r="I294">
        <v>5</v>
      </c>
      <c r="J294">
        <v>4</v>
      </c>
      <c r="K294" s="86">
        <f t="shared" si="58"/>
        <v>22</v>
      </c>
    </row>
    <row r="295" spans="1:39" x14ac:dyDescent="0.45">
      <c r="A295" s="3" t="s">
        <v>3</v>
      </c>
      <c r="K295" s="86">
        <f t="shared" si="58"/>
        <v>0</v>
      </c>
    </row>
    <row r="296" spans="1:39" x14ac:dyDescent="0.45">
      <c r="A296" s="3" t="s">
        <v>4</v>
      </c>
      <c r="K296" s="86">
        <f t="shared" si="58"/>
        <v>0</v>
      </c>
    </row>
    <row r="297" spans="1:39" x14ac:dyDescent="0.45">
      <c r="A297" s="83" t="s">
        <v>48</v>
      </c>
      <c r="K297" s="86">
        <f t="shared" si="58"/>
        <v>0</v>
      </c>
    </row>
    <row r="298" spans="1:39" x14ac:dyDescent="0.45">
      <c r="A298" s="3" t="s">
        <v>6</v>
      </c>
      <c r="K298" s="86">
        <f t="shared" si="58"/>
        <v>0</v>
      </c>
    </row>
    <row r="299" spans="1:39" x14ac:dyDescent="0.45">
      <c r="A299" s="3" t="s">
        <v>7</v>
      </c>
      <c r="K299" s="86">
        <f t="shared" si="58"/>
        <v>0</v>
      </c>
    </row>
    <row r="300" spans="1:39" x14ac:dyDescent="0.45">
      <c r="A300" s="101" t="s">
        <v>83</v>
      </c>
      <c r="K300" s="86">
        <f t="shared" si="58"/>
        <v>0</v>
      </c>
    </row>
    <row r="301" spans="1:39" x14ac:dyDescent="0.45">
      <c r="A301" s="83" t="s">
        <v>50</v>
      </c>
      <c r="K301" s="86">
        <f t="shared" si="58"/>
        <v>0</v>
      </c>
      <c r="AB301" s="2"/>
      <c r="AC301" s="2"/>
      <c r="AD301" s="2"/>
      <c r="AE301" s="2"/>
      <c r="AF301" s="2"/>
      <c r="AG301" s="2"/>
      <c r="AH301" s="2"/>
      <c r="AI301" s="2"/>
      <c r="AJ301" s="2"/>
      <c r="AK301" s="2"/>
      <c r="AL301" s="2"/>
    </row>
    <row r="302" spans="1:39" x14ac:dyDescent="0.45">
      <c r="A302" s="83" t="s">
        <v>51</v>
      </c>
      <c r="K302" s="86">
        <f t="shared" si="58"/>
        <v>0</v>
      </c>
    </row>
    <row r="303" spans="1:39" x14ac:dyDescent="0.45">
      <c r="A303" s="83" t="s">
        <v>42</v>
      </c>
      <c r="K303" s="86">
        <f t="shared" si="58"/>
        <v>0</v>
      </c>
    </row>
    <row r="304" spans="1:39" x14ac:dyDescent="0.45">
      <c r="A304" s="3" t="s">
        <v>8</v>
      </c>
      <c r="H304">
        <v>3</v>
      </c>
      <c r="I304">
        <v>2</v>
      </c>
      <c r="K304" s="86">
        <f t="shared" si="58"/>
        <v>5</v>
      </c>
    </row>
    <row r="305" spans="1:14" x14ac:dyDescent="0.45">
      <c r="A305" s="3" t="s">
        <v>9</v>
      </c>
      <c r="E305">
        <v>36</v>
      </c>
      <c r="G305">
        <v>320</v>
      </c>
      <c r="H305">
        <v>300</v>
      </c>
      <c r="I305">
        <v>61</v>
      </c>
      <c r="K305" s="86">
        <f t="shared" si="58"/>
        <v>717</v>
      </c>
    </row>
    <row r="306" spans="1:14" x14ac:dyDescent="0.45">
      <c r="A306" s="83" t="s">
        <v>44</v>
      </c>
      <c r="K306" s="86">
        <f t="shared" si="58"/>
        <v>0</v>
      </c>
    </row>
    <row r="307" spans="1:14" x14ac:dyDescent="0.45">
      <c r="A307" s="3" t="s">
        <v>10</v>
      </c>
      <c r="I307">
        <v>3</v>
      </c>
      <c r="K307" s="86">
        <f t="shared" si="58"/>
        <v>3</v>
      </c>
    </row>
    <row r="308" spans="1:14" x14ac:dyDescent="0.45">
      <c r="A308" s="3" t="s">
        <v>11</v>
      </c>
      <c r="K308" s="86">
        <f t="shared" si="58"/>
        <v>0</v>
      </c>
    </row>
    <row r="309" spans="1:14" x14ac:dyDescent="0.45">
      <c r="A309" s="3" t="s">
        <v>12</v>
      </c>
      <c r="K309" s="86">
        <f t="shared" si="58"/>
        <v>0</v>
      </c>
    </row>
    <row r="310" spans="1:14" x14ac:dyDescent="0.45">
      <c r="A310" s="83" t="s">
        <v>32</v>
      </c>
      <c r="K310" s="86">
        <f t="shared" si="58"/>
        <v>0</v>
      </c>
    </row>
    <row r="311" spans="1:14" x14ac:dyDescent="0.45">
      <c r="A311" s="3" t="s">
        <v>18</v>
      </c>
      <c r="K311" s="86">
        <f t="shared" si="58"/>
        <v>0</v>
      </c>
    </row>
    <row r="312" spans="1:14" x14ac:dyDescent="0.45">
      <c r="A312" s="83" t="s">
        <v>46</v>
      </c>
      <c r="K312" s="86">
        <f t="shared" si="58"/>
        <v>0</v>
      </c>
    </row>
    <row r="313" spans="1:14" x14ac:dyDescent="0.45">
      <c r="A313" s="3" t="s">
        <v>13</v>
      </c>
      <c r="K313" s="86">
        <f t="shared" si="58"/>
        <v>0</v>
      </c>
      <c r="N313" s="2"/>
    </row>
    <row r="314" spans="1:14" x14ac:dyDescent="0.45">
      <c r="A314" s="3" t="s">
        <v>14</v>
      </c>
      <c r="K314" s="86">
        <f t="shared" si="58"/>
        <v>0</v>
      </c>
    </row>
    <row r="315" spans="1:14" x14ac:dyDescent="0.45">
      <c r="A315" s="83" t="s">
        <v>40</v>
      </c>
      <c r="I315">
        <v>1</v>
      </c>
      <c r="K315" s="86">
        <f t="shared" si="58"/>
        <v>1</v>
      </c>
    </row>
    <row r="316" spans="1:14" x14ac:dyDescent="0.45">
      <c r="A316" s="83" t="s">
        <v>52</v>
      </c>
      <c r="K316" s="86">
        <f t="shared" si="58"/>
        <v>0</v>
      </c>
    </row>
    <row r="317" spans="1:14" x14ac:dyDescent="0.45">
      <c r="A317" s="83" t="s">
        <v>53</v>
      </c>
      <c r="K317" s="86">
        <f t="shared" si="58"/>
        <v>0</v>
      </c>
    </row>
    <row r="318" spans="1:14" x14ac:dyDescent="0.45">
      <c r="A318" s="3" t="s">
        <v>15</v>
      </c>
      <c r="K318" s="86">
        <f t="shared" si="58"/>
        <v>0</v>
      </c>
    </row>
    <row r="319" spans="1:14" x14ac:dyDescent="0.45">
      <c r="A319" s="83" t="s">
        <v>54</v>
      </c>
      <c r="K319" s="86">
        <f t="shared" si="58"/>
        <v>0</v>
      </c>
    </row>
    <row r="320" spans="1:14" x14ac:dyDescent="0.45">
      <c r="A320" s="83" t="s">
        <v>47</v>
      </c>
      <c r="K320" s="86">
        <f t="shared" si="58"/>
        <v>0</v>
      </c>
    </row>
    <row r="321" spans="1:12" x14ac:dyDescent="0.45">
      <c r="A321" s="3" t="s">
        <v>16</v>
      </c>
      <c r="K321" s="86">
        <f t="shared" si="58"/>
        <v>0</v>
      </c>
    </row>
    <row r="322" spans="1:12" x14ac:dyDescent="0.45">
      <c r="A322" s="83" t="s">
        <v>55</v>
      </c>
      <c r="K322" s="86">
        <f t="shared" si="58"/>
        <v>0</v>
      </c>
    </row>
    <row r="323" spans="1:12" x14ac:dyDescent="0.45">
      <c r="A323" s="78" t="s">
        <v>17</v>
      </c>
      <c r="G323">
        <v>1000</v>
      </c>
      <c r="I323">
        <v>500</v>
      </c>
      <c r="J323">
        <v>1000</v>
      </c>
      <c r="K323" s="86">
        <f t="shared" si="58"/>
        <v>2500</v>
      </c>
    </row>
    <row r="324" spans="1:12" x14ac:dyDescent="0.45">
      <c r="A324" s="178" t="s">
        <v>24</v>
      </c>
      <c r="B324" s="159">
        <f>SUM(B289:B323)</f>
        <v>0</v>
      </c>
      <c r="C324" s="160">
        <f t="shared" ref="C324" si="59">SUM(C289:C323)</f>
        <v>0</v>
      </c>
      <c r="D324" s="160">
        <f t="shared" ref="D324" si="60">SUM(D289:D323)</f>
        <v>2</v>
      </c>
      <c r="E324" s="160">
        <f t="shared" ref="E324" si="61">SUM(E289:E323)</f>
        <v>39</v>
      </c>
      <c r="F324" s="160">
        <f t="shared" ref="F324" si="62">SUM(F289:F323)</f>
        <v>0</v>
      </c>
      <c r="G324" s="160">
        <f t="shared" ref="G324" si="63">SUM(G289:G323)</f>
        <v>1324</v>
      </c>
      <c r="H324" s="160">
        <f t="shared" ref="H324" si="64">SUM(H289:H323)</f>
        <v>307</v>
      </c>
      <c r="I324" s="160">
        <f t="shared" ref="I324" si="65">SUM(I289:I323)</f>
        <v>572</v>
      </c>
      <c r="J324" s="160">
        <f t="shared" ref="J324" si="66">SUM(J289:J323)</f>
        <v>1004</v>
      </c>
      <c r="K324" s="160">
        <f t="shared" ref="K324" si="67">SUM(K289:K323)</f>
        <v>3248</v>
      </c>
      <c r="L324" s="17">
        <f>SUM(B324:J324)</f>
        <v>3248</v>
      </c>
    </row>
    <row r="325" spans="1:12" x14ac:dyDescent="0.45">
      <c r="A325" s="1"/>
      <c r="K325" s="17"/>
    </row>
    <row r="327" spans="1:12" x14ac:dyDescent="0.45">
      <c r="A327" s="1" t="s">
        <v>222</v>
      </c>
      <c r="B327" s="180"/>
      <c r="C327" s="180"/>
      <c r="D327" s="180"/>
      <c r="E327" s="180"/>
      <c r="F327" s="180"/>
      <c r="G327" s="180"/>
      <c r="H327" s="180"/>
      <c r="I327" s="180"/>
      <c r="J327" s="180"/>
      <c r="K327" s="180"/>
    </row>
    <row r="328" spans="1:12" x14ac:dyDescent="0.45">
      <c r="A328" s="1" t="s">
        <v>200</v>
      </c>
      <c r="B328" s="180"/>
      <c r="C328" s="180"/>
      <c r="D328" s="180"/>
      <c r="E328" s="180"/>
      <c r="F328" s="180"/>
      <c r="G328" s="180"/>
      <c r="H328" s="180"/>
      <c r="I328" s="180"/>
      <c r="J328" s="180"/>
      <c r="K328" s="180"/>
    </row>
    <row r="329" spans="1:12" x14ac:dyDescent="0.45">
      <c r="A329" s="180" t="s">
        <v>31</v>
      </c>
      <c r="B329" s="180"/>
      <c r="C329" s="180"/>
      <c r="D329" s="180"/>
      <c r="E329" s="180"/>
      <c r="F329" s="180"/>
      <c r="G329" s="180"/>
      <c r="H329" s="180"/>
      <c r="I329" s="180"/>
      <c r="J329" s="180"/>
      <c r="K329" s="180"/>
    </row>
    <row r="330" spans="1:12" x14ac:dyDescent="0.45">
      <c r="A330" s="180"/>
      <c r="B330" s="1" t="s">
        <v>20</v>
      </c>
      <c r="C330" s="180"/>
      <c r="D330" s="180"/>
      <c r="E330" s="180"/>
      <c r="F330" s="1" t="s">
        <v>21</v>
      </c>
      <c r="G330" s="180"/>
      <c r="H330" s="180"/>
      <c r="I330" s="180"/>
      <c r="J330" s="180"/>
      <c r="K330" s="180"/>
    </row>
    <row r="331" spans="1:12" x14ac:dyDescent="0.45">
      <c r="A331" s="26" t="s">
        <v>19</v>
      </c>
      <c r="B331" s="88">
        <v>13</v>
      </c>
      <c r="C331" s="91">
        <v>18</v>
      </c>
      <c r="D331" s="91">
        <v>23</v>
      </c>
      <c r="E331" s="91">
        <v>28</v>
      </c>
      <c r="F331" s="91">
        <v>3</v>
      </c>
      <c r="G331" s="91">
        <v>8</v>
      </c>
      <c r="H331" s="91">
        <v>13</v>
      </c>
      <c r="I331" s="91">
        <v>18</v>
      </c>
      <c r="J331" s="91">
        <v>23</v>
      </c>
      <c r="K331" s="8" t="s">
        <v>24</v>
      </c>
    </row>
    <row r="332" spans="1:12" x14ac:dyDescent="0.45">
      <c r="A332" s="3" t="s">
        <v>1</v>
      </c>
      <c r="H332">
        <v>18</v>
      </c>
      <c r="K332" s="86">
        <f t="shared" ref="K332:K366" si="68">SUM(B332:J332)</f>
        <v>18</v>
      </c>
    </row>
    <row r="333" spans="1:12" x14ac:dyDescent="0.45">
      <c r="A333" s="83" t="s">
        <v>49</v>
      </c>
      <c r="K333" s="86">
        <f t="shared" si="68"/>
        <v>0</v>
      </c>
    </row>
    <row r="334" spans="1:12" x14ac:dyDescent="0.45">
      <c r="A334" s="83" t="s">
        <v>45</v>
      </c>
      <c r="K334" s="86">
        <f t="shared" si="68"/>
        <v>0</v>
      </c>
    </row>
    <row r="335" spans="1:12" x14ac:dyDescent="0.45">
      <c r="A335" s="83" t="s">
        <v>41</v>
      </c>
      <c r="K335" s="86">
        <f t="shared" si="68"/>
        <v>0</v>
      </c>
    </row>
    <row r="336" spans="1:12" x14ac:dyDescent="0.45">
      <c r="A336" s="3" t="s">
        <v>2</v>
      </c>
      <c r="K336" s="86">
        <f t="shared" si="68"/>
        <v>0</v>
      </c>
    </row>
    <row r="337" spans="1:25" x14ac:dyDescent="0.45">
      <c r="A337" s="83" t="s">
        <v>43</v>
      </c>
      <c r="K337" s="86">
        <f t="shared" si="68"/>
        <v>0</v>
      </c>
    </row>
    <row r="338" spans="1:25" x14ac:dyDescent="0.45">
      <c r="A338" s="3" t="s">
        <v>3</v>
      </c>
      <c r="E338">
        <v>1</v>
      </c>
      <c r="F338">
        <v>1</v>
      </c>
      <c r="G338">
        <v>1</v>
      </c>
      <c r="H338">
        <v>2</v>
      </c>
      <c r="K338" s="86">
        <f t="shared" si="68"/>
        <v>5</v>
      </c>
      <c r="O338" s="2"/>
      <c r="P338" s="2"/>
      <c r="Q338" s="2"/>
      <c r="R338" s="2"/>
      <c r="S338" s="2"/>
      <c r="T338" s="2"/>
      <c r="U338" s="2"/>
      <c r="V338" s="2"/>
      <c r="W338" s="2"/>
      <c r="X338" s="2"/>
      <c r="Y338" s="2"/>
    </row>
    <row r="339" spans="1:25" x14ac:dyDescent="0.45">
      <c r="A339" s="3" t="s">
        <v>4</v>
      </c>
      <c r="K339" s="86">
        <f t="shared" si="68"/>
        <v>0</v>
      </c>
    </row>
    <row r="340" spans="1:25" x14ac:dyDescent="0.45">
      <c r="A340" s="83" t="s">
        <v>48</v>
      </c>
      <c r="K340" s="86">
        <f t="shared" si="68"/>
        <v>0</v>
      </c>
    </row>
    <row r="341" spans="1:25" x14ac:dyDescent="0.45">
      <c r="A341" s="3" t="s">
        <v>6</v>
      </c>
      <c r="I341">
        <v>1</v>
      </c>
      <c r="K341" s="86">
        <f t="shared" si="68"/>
        <v>1</v>
      </c>
    </row>
    <row r="342" spans="1:25" x14ac:dyDescent="0.45">
      <c r="A342" s="3" t="s">
        <v>7</v>
      </c>
      <c r="K342" s="86">
        <f t="shared" si="68"/>
        <v>0</v>
      </c>
    </row>
    <row r="343" spans="1:25" x14ac:dyDescent="0.45">
      <c r="A343" s="101" t="s">
        <v>83</v>
      </c>
      <c r="K343" s="86">
        <f t="shared" si="68"/>
        <v>0</v>
      </c>
    </row>
    <row r="344" spans="1:25" x14ac:dyDescent="0.45">
      <c r="A344" s="83" t="s">
        <v>50</v>
      </c>
      <c r="K344" s="86">
        <f t="shared" si="68"/>
        <v>0</v>
      </c>
    </row>
    <row r="345" spans="1:25" x14ac:dyDescent="0.45">
      <c r="A345" s="83" t="s">
        <v>51</v>
      </c>
      <c r="K345" s="86">
        <f t="shared" si="68"/>
        <v>0</v>
      </c>
    </row>
    <row r="346" spans="1:25" x14ac:dyDescent="0.45">
      <c r="A346" s="83" t="s">
        <v>42</v>
      </c>
      <c r="K346" s="86">
        <f t="shared" si="68"/>
        <v>0</v>
      </c>
    </row>
    <row r="347" spans="1:25" x14ac:dyDescent="0.45">
      <c r="A347" s="3" t="s">
        <v>8</v>
      </c>
      <c r="K347" s="86">
        <f t="shared" si="68"/>
        <v>0</v>
      </c>
    </row>
    <row r="348" spans="1:25" x14ac:dyDescent="0.45">
      <c r="A348" s="3" t="s">
        <v>9</v>
      </c>
      <c r="K348" s="86">
        <f t="shared" si="68"/>
        <v>0</v>
      </c>
    </row>
    <row r="349" spans="1:25" x14ac:dyDescent="0.45">
      <c r="A349" s="83" t="s">
        <v>44</v>
      </c>
      <c r="K349" s="86">
        <f t="shared" si="68"/>
        <v>0</v>
      </c>
    </row>
    <row r="350" spans="1:25" x14ac:dyDescent="0.45">
      <c r="A350" s="3" t="s">
        <v>10</v>
      </c>
      <c r="K350" s="86">
        <f t="shared" si="68"/>
        <v>0</v>
      </c>
    </row>
    <row r="351" spans="1:25" x14ac:dyDescent="0.45">
      <c r="A351" s="3" t="s">
        <v>11</v>
      </c>
      <c r="G351">
        <v>35</v>
      </c>
      <c r="H351">
        <v>60</v>
      </c>
      <c r="K351" s="86">
        <f t="shared" si="68"/>
        <v>95</v>
      </c>
    </row>
    <row r="352" spans="1:25" x14ac:dyDescent="0.45">
      <c r="A352" s="3" t="s">
        <v>12</v>
      </c>
      <c r="K352" s="86">
        <f t="shared" si="68"/>
        <v>0</v>
      </c>
    </row>
    <row r="353" spans="1:12" x14ac:dyDescent="0.45">
      <c r="A353" s="83" t="s">
        <v>32</v>
      </c>
      <c r="K353" s="86">
        <f t="shared" si="68"/>
        <v>0</v>
      </c>
    </row>
    <row r="354" spans="1:12" x14ac:dyDescent="0.45">
      <c r="A354" s="3" t="s">
        <v>18</v>
      </c>
      <c r="G354">
        <v>1</v>
      </c>
      <c r="K354" s="86">
        <f t="shared" si="68"/>
        <v>1</v>
      </c>
    </row>
    <row r="355" spans="1:12" x14ac:dyDescent="0.45">
      <c r="A355" s="83" t="s">
        <v>46</v>
      </c>
      <c r="K355" s="86">
        <f t="shared" si="68"/>
        <v>0</v>
      </c>
    </row>
    <row r="356" spans="1:12" x14ac:dyDescent="0.45">
      <c r="A356" s="3" t="s">
        <v>13</v>
      </c>
      <c r="K356" s="86">
        <f t="shared" si="68"/>
        <v>0</v>
      </c>
    </row>
    <row r="357" spans="1:12" x14ac:dyDescent="0.45">
      <c r="A357" s="3" t="s">
        <v>14</v>
      </c>
      <c r="K357" s="86">
        <f t="shared" si="68"/>
        <v>0</v>
      </c>
    </row>
    <row r="358" spans="1:12" x14ac:dyDescent="0.45">
      <c r="A358" s="83" t="s">
        <v>40</v>
      </c>
      <c r="K358" s="86">
        <f t="shared" si="68"/>
        <v>0</v>
      </c>
    </row>
    <row r="359" spans="1:12" x14ac:dyDescent="0.45">
      <c r="A359" s="83" t="s">
        <v>52</v>
      </c>
      <c r="K359" s="86">
        <f t="shared" si="68"/>
        <v>0</v>
      </c>
    </row>
    <row r="360" spans="1:12" x14ac:dyDescent="0.45">
      <c r="A360" s="83" t="s">
        <v>53</v>
      </c>
      <c r="K360" s="86">
        <f t="shared" si="68"/>
        <v>0</v>
      </c>
    </row>
    <row r="361" spans="1:12" x14ac:dyDescent="0.45">
      <c r="A361" s="3" t="s">
        <v>15</v>
      </c>
      <c r="K361" s="86">
        <f t="shared" si="68"/>
        <v>0</v>
      </c>
    </row>
    <row r="362" spans="1:12" x14ac:dyDescent="0.45">
      <c r="A362" s="83" t="s">
        <v>54</v>
      </c>
      <c r="K362" s="86">
        <f t="shared" si="68"/>
        <v>0</v>
      </c>
    </row>
    <row r="363" spans="1:12" x14ac:dyDescent="0.45">
      <c r="A363" s="83" t="s">
        <v>47</v>
      </c>
      <c r="K363" s="86">
        <f t="shared" si="68"/>
        <v>0</v>
      </c>
    </row>
    <row r="364" spans="1:12" x14ac:dyDescent="0.45">
      <c r="A364" s="3" t="s">
        <v>16</v>
      </c>
      <c r="K364" s="86">
        <f t="shared" si="68"/>
        <v>0</v>
      </c>
    </row>
    <row r="365" spans="1:12" x14ac:dyDescent="0.45">
      <c r="A365" s="83" t="s">
        <v>55</v>
      </c>
      <c r="K365" s="86">
        <f t="shared" si="68"/>
        <v>0</v>
      </c>
    </row>
    <row r="366" spans="1:12" x14ac:dyDescent="0.45">
      <c r="A366" s="78" t="s">
        <v>17</v>
      </c>
      <c r="K366" s="86">
        <f t="shared" si="68"/>
        <v>0</v>
      </c>
    </row>
    <row r="367" spans="1:12" x14ac:dyDescent="0.45">
      <c r="A367" s="178" t="s">
        <v>24</v>
      </c>
      <c r="B367" s="159">
        <f>SUM(B332:B366)</f>
        <v>0</v>
      </c>
      <c r="C367" s="160">
        <f t="shared" ref="C367:K367" si="69">SUM(C332:C366)</f>
        <v>0</v>
      </c>
      <c r="D367" s="160">
        <f t="shared" si="69"/>
        <v>0</v>
      </c>
      <c r="E367" s="160">
        <f t="shared" si="69"/>
        <v>1</v>
      </c>
      <c r="F367" s="160">
        <f t="shared" si="69"/>
        <v>1</v>
      </c>
      <c r="G367" s="160">
        <f t="shared" si="69"/>
        <v>37</v>
      </c>
      <c r="H367" s="160">
        <f t="shared" si="69"/>
        <v>80</v>
      </c>
      <c r="I367" s="160">
        <f t="shared" si="69"/>
        <v>1</v>
      </c>
      <c r="J367" s="160">
        <f t="shared" si="69"/>
        <v>0</v>
      </c>
      <c r="K367" s="160">
        <f t="shared" si="69"/>
        <v>120</v>
      </c>
      <c r="L367" s="17">
        <f>SUM(B367:J367)</f>
        <v>120</v>
      </c>
    </row>
    <row r="369" spans="1:11" x14ac:dyDescent="0.45">
      <c r="A369" s="1" t="s">
        <v>222</v>
      </c>
    </row>
    <row r="370" spans="1:11" x14ac:dyDescent="0.45">
      <c r="A370" s="1" t="s">
        <v>115</v>
      </c>
      <c r="B370" s="2"/>
      <c r="C370" s="2"/>
      <c r="D370" s="2"/>
      <c r="E370" s="2"/>
      <c r="F370" s="2"/>
      <c r="G370" s="2"/>
      <c r="H370" s="2"/>
      <c r="I370" s="2"/>
      <c r="J370" s="2"/>
      <c r="K370" s="2"/>
    </row>
    <row r="371" spans="1:11" x14ac:dyDescent="0.45">
      <c r="A371" s="1" t="s">
        <v>63</v>
      </c>
      <c r="B371" s="2"/>
      <c r="C371" s="2" t="s">
        <v>166</v>
      </c>
      <c r="D371" s="2"/>
      <c r="E371" s="2"/>
      <c r="F371" s="2"/>
      <c r="G371" s="2"/>
      <c r="H371" s="2"/>
      <c r="I371" s="2"/>
      <c r="J371" s="2"/>
      <c r="K371" s="2"/>
    </row>
    <row r="372" spans="1:11" x14ac:dyDescent="0.45">
      <c r="A372" s="2"/>
      <c r="B372" s="1" t="s">
        <v>20</v>
      </c>
      <c r="C372" s="180"/>
      <c r="D372" s="180"/>
      <c r="E372" s="180"/>
      <c r="F372" s="1" t="s">
        <v>21</v>
      </c>
      <c r="G372" s="180"/>
      <c r="H372" s="180"/>
      <c r="I372" s="180"/>
      <c r="J372" s="180"/>
      <c r="K372" s="180"/>
    </row>
    <row r="373" spans="1:11" x14ac:dyDescent="0.45">
      <c r="A373" s="26" t="s">
        <v>19</v>
      </c>
      <c r="B373" s="88">
        <v>14</v>
      </c>
      <c r="C373" s="91">
        <v>19</v>
      </c>
      <c r="D373" s="91">
        <v>24</v>
      </c>
      <c r="E373" s="91">
        <v>29</v>
      </c>
      <c r="F373" s="91">
        <v>4</v>
      </c>
      <c r="G373" s="91">
        <v>9</v>
      </c>
      <c r="H373" s="91">
        <v>14</v>
      </c>
      <c r="I373" s="91">
        <v>19</v>
      </c>
      <c r="J373" s="91">
        <v>24</v>
      </c>
      <c r="K373" s="8" t="s">
        <v>24</v>
      </c>
    </row>
    <row r="374" spans="1:11" x14ac:dyDescent="0.45">
      <c r="A374" s="3" t="s">
        <v>1</v>
      </c>
      <c r="B374" s="77">
        <f t="shared" ref="B374:J374" si="70">B74+B117+B160+B203</f>
        <v>0</v>
      </c>
      <c r="C374" s="77">
        <f t="shared" si="70"/>
        <v>0</v>
      </c>
      <c r="D374" s="77">
        <f t="shared" si="70"/>
        <v>0</v>
      </c>
      <c r="E374" s="77">
        <f t="shared" si="70"/>
        <v>0</v>
      </c>
      <c r="F374" s="77">
        <f t="shared" si="70"/>
        <v>3</v>
      </c>
      <c r="G374" s="77">
        <f t="shared" si="70"/>
        <v>26</v>
      </c>
      <c r="H374" s="77">
        <f t="shared" si="70"/>
        <v>45</v>
      </c>
      <c r="I374" s="77">
        <f t="shared" si="70"/>
        <v>73</v>
      </c>
      <c r="J374" s="77">
        <f t="shared" si="70"/>
        <v>39</v>
      </c>
      <c r="K374" s="44">
        <f>SUM(B374:J374)</f>
        <v>186</v>
      </c>
    </row>
    <row r="375" spans="1:11" x14ac:dyDescent="0.45">
      <c r="A375" s="83" t="s">
        <v>49</v>
      </c>
      <c r="B375" s="77">
        <f t="shared" ref="B375:J375" si="71">B75+B118+B161+B204</f>
        <v>0</v>
      </c>
      <c r="C375" s="77">
        <f t="shared" si="71"/>
        <v>0</v>
      </c>
      <c r="D375" s="77">
        <f t="shared" si="71"/>
        <v>0</v>
      </c>
      <c r="E375" s="77">
        <f t="shared" si="71"/>
        <v>0</v>
      </c>
      <c r="F375" s="77">
        <f t="shared" si="71"/>
        <v>0</v>
      </c>
      <c r="G375" s="77">
        <f t="shared" si="71"/>
        <v>0</v>
      </c>
      <c r="H375" s="77">
        <f t="shared" si="71"/>
        <v>0</v>
      </c>
      <c r="I375" s="77">
        <f t="shared" si="71"/>
        <v>0</v>
      </c>
      <c r="J375" s="77">
        <f t="shared" si="71"/>
        <v>0</v>
      </c>
      <c r="K375" s="44">
        <f t="shared" ref="K375:K408" si="72">SUM(B375:J375)</f>
        <v>0</v>
      </c>
    </row>
    <row r="376" spans="1:11" x14ac:dyDescent="0.45">
      <c r="A376" s="83" t="s">
        <v>45</v>
      </c>
      <c r="B376" s="77">
        <f t="shared" ref="B376:J376" si="73">B76+B119+B162+B205</f>
        <v>0</v>
      </c>
      <c r="C376" s="77">
        <f t="shared" si="73"/>
        <v>0</v>
      </c>
      <c r="D376" s="77">
        <f t="shared" si="73"/>
        <v>0</v>
      </c>
      <c r="E376" s="77">
        <f t="shared" si="73"/>
        <v>0</v>
      </c>
      <c r="F376" s="77">
        <f t="shared" si="73"/>
        <v>0</v>
      </c>
      <c r="G376" s="77">
        <f t="shared" si="73"/>
        <v>0</v>
      </c>
      <c r="H376" s="77">
        <f t="shared" si="73"/>
        <v>0</v>
      </c>
      <c r="I376" s="77">
        <f t="shared" si="73"/>
        <v>0</v>
      </c>
      <c r="J376" s="77">
        <f t="shared" si="73"/>
        <v>0</v>
      </c>
      <c r="K376" s="44">
        <f t="shared" si="72"/>
        <v>0</v>
      </c>
    </row>
    <row r="377" spans="1:11" x14ac:dyDescent="0.45">
      <c r="A377" s="83" t="s">
        <v>41</v>
      </c>
      <c r="B377" s="77">
        <f t="shared" ref="B377:J377" si="74">B77+B120+B163+B206</f>
        <v>0</v>
      </c>
      <c r="C377" s="77">
        <f t="shared" si="74"/>
        <v>0</v>
      </c>
      <c r="D377" s="77">
        <f t="shared" si="74"/>
        <v>5</v>
      </c>
      <c r="E377" s="77">
        <f t="shared" si="74"/>
        <v>0</v>
      </c>
      <c r="F377" s="77">
        <f t="shared" si="74"/>
        <v>6</v>
      </c>
      <c r="G377" s="77">
        <f t="shared" si="74"/>
        <v>0</v>
      </c>
      <c r="H377" s="77">
        <f t="shared" si="74"/>
        <v>2</v>
      </c>
      <c r="I377" s="77">
        <f t="shared" si="74"/>
        <v>0</v>
      </c>
      <c r="J377" s="77">
        <f t="shared" si="74"/>
        <v>0</v>
      </c>
      <c r="K377" s="44">
        <f t="shared" si="72"/>
        <v>13</v>
      </c>
    </row>
    <row r="378" spans="1:11" x14ac:dyDescent="0.45">
      <c r="A378" s="3" t="s">
        <v>2</v>
      </c>
      <c r="B378" s="77">
        <f t="shared" ref="B378:B408" si="75">B78+B121+B164+B207</f>
        <v>1</v>
      </c>
      <c r="C378" s="77">
        <f t="shared" ref="C378:D378" si="76">C78+C121+C164+C207</f>
        <v>25</v>
      </c>
      <c r="D378" s="77">
        <f t="shared" si="76"/>
        <v>29</v>
      </c>
      <c r="E378" s="77">
        <f t="shared" ref="E378:J387" si="77">E78+E121+E164+E207</f>
        <v>9</v>
      </c>
      <c r="F378" s="77">
        <f t="shared" si="77"/>
        <v>17</v>
      </c>
      <c r="G378" s="77">
        <f t="shared" si="77"/>
        <v>22</v>
      </c>
      <c r="H378" s="77">
        <f t="shared" si="77"/>
        <v>3</v>
      </c>
      <c r="I378" s="77">
        <f t="shared" si="77"/>
        <v>0</v>
      </c>
      <c r="J378" s="77">
        <f t="shared" si="77"/>
        <v>0</v>
      </c>
      <c r="K378" s="44">
        <f t="shared" si="72"/>
        <v>106</v>
      </c>
    </row>
    <row r="379" spans="1:11" x14ac:dyDescent="0.45">
      <c r="A379" s="83" t="s">
        <v>43</v>
      </c>
      <c r="B379" s="77">
        <f t="shared" si="75"/>
        <v>0</v>
      </c>
      <c r="C379" s="77">
        <f t="shared" ref="C379:D379" si="78">C79+C122+C165+C208</f>
        <v>0</v>
      </c>
      <c r="D379" s="77">
        <f t="shared" si="78"/>
        <v>0</v>
      </c>
      <c r="E379" s="77">
        <f t="shared" si="77"/>
        <v>0</v>
      </c>
      <c r="F379" s="77">
        <f t="shared" si="77"/>
        <v>0</v>
      </c>
      <c r="G379" s="77">
        <f t="shared" si="77"/>
        <v>0</v>
      </c>
      <c r="H379" s="77">
        <f t="shared" si="77"/>
        <v>0</v>
      </c>
      <c r="I379" s="77">
        <f t="shared" si="77"/>
        <v>0</v>
      </c>
      <c r="J379" s="77">
        <f t="shared" si="77"/>
        <v>0</v>
      </c>
      <c r="K379" s="44">
        <f t="shared" si="72"/>
        <v>0</v>
      </c>
    </row>
    <row r="380" spans="1:11" x14ac:dyDescent="0.45">
      <c r="A380" s="3" t="s">
        <v>3</v>
      </c>
      <c r="B380" s="77">
        <f t="shared" si="75"/>
        <v>0</v>
      </c>
      <c r="C380" s="77">
        <f t="shared" ref="C380:D380" si="79">C80+C123+C166+C209</f>
        <v>0</v>
      </c>
      <c r="D380" s="77">
        <f t="shared" si="79"/>
        <v>39</v>
      </c>
      <c r="E380" s="77">
        <f t="shared" si="77"/>
        <v>6</v>
      </c>
      <c r="F380" s="77">
        <f t="shared" si="77"/>
        <v>0</v>
      </c>
      <c r="G380" s="77">
        <f t="shared" si="77"/>
        <v>1</v>
      </c>
      <c r="H380" s="77">
        <f t="shared" si="77"/>
        <v>0</v>
      </c>
      <c r="I380" s="77">
        <f t="shared" si="77"/>
        <v>0</v>
      </c>
      <c r="J380" s="77">
        <f t="shared" si="77"/>
        <v>0</v>
      </c>
      <c r="K380" s="44">
        <f t="shared" si="72"/>
        <v>46</v>
      </c>
    </row>
    <row r="381" spans="1:11" x14ac:dyDescent="0.45">
      <c r="A381" s="3" t="s">
        <v>4</v>
      </c>
      <c r="B381" s="77">
        <f t="shared" si="75"/>
        <v>0</v>
      </c>
      <c r="C381" s="77">
        <f t="shared" ref="C381:D408" si="80">C81+C124+C167+C210</f>
        <v>0</v>
      </c>
      <c r="D381" s="77">
        <f t="shared" si="80"/>
        <v>0</v>
      </c>
      <c r="E381" s="77">
        <f t="shared" si="77"/>
        <v>0</v>
      </c>
      <c r="F381" s="77">
        <f t="shared" si="77"/>
        <v>0</v>
      </c>
      <c r="G381" s="77">
        <f t="shared" si="77"/>
        <v>0</v>
      </c>
      <c r="H381" s="77">
        <f t="shared" si="77"/>
        <v>0</v>
      </c>
      <c r="I381" s="77">
        <f t="shared" si="77"/>
        <v>0</v>
      </c>
      <c r="J381" s="77">
        <f t="shared" si="77"/>
        <v>0</v>
      </c>
      <c r="K381" s="44">
        <f t="shared" si="72"/>
        <v>0</v>
      </c>
    </row>
    <row r="382" spans="1:11" x14ac:dyDescent="0.45">
      <c r="A382" s="83" t="s">
        <v>48</v>
      </c>
      <c r="B382" s="77">
        <f t="shared" si="75"/>
        <v>0</v>
      </c>
      <c r="C382" s="77">
        <f t="shared" si="80"/>
        <v>0</v>
      </c>
      <c r="D382" s="77">
        <f t="shared" si="80"/>
        <v>0</v>
      </c>
      <c r="E382" s="77">
        <f t="shared" si="77"/>
        <v>0</v>
      </c>
      <c r="F382" s="77">
        <f t="shared" si="77"/>
        <v>2</v>
      </c>
      <c r="G382" s="77">
        <f t="shared" si="77"/>
        <v>0</v>
      </c>
      <c r="H382" s="77">
        <f t="shared" si="77"/>
        <v>0</v>
      </c>
      <c r="I382" s="77">
        <f t="shared" si="77"/>
        <v>0</v>
      </c>
      <c r="J382" s="77">
        <f t="shared" si="77"/>
        <v>0</v>
      </c>
      <c r="K382" s="44">
        <f t="shared" si="72"/>
        <v>2</v>
      </c>
    </row>
    <row r="383" spans="1:11" x14ac:dyDescent="0.45">
      <c r="A383" s="3" t="s">
        <v>6</v>
      </c>
      <c r="B383" s="77">
        <f t="shared" si="75"/>
        <v>0</v>
      </c>
      <c r="C383" s="77">
        <f t="shared" si="80"/>
        <v>0</v>
      </c>
      <c r="D383" s="77">
        <f t="shared" si="80"/>
        <v>0</v>
      </c>
      <c r="E383" s="77">
        <f t="shared" si="77"/>
        <v>0</v>
      </c>
      <c r="F383" s="77">
        <f t="shared" si="77"/>
        <v>0</v>
      </c>
      <c r="G383" s="77">
        <f t="shared" si="77"/>
        <v>0</v>
      </c>
      <c r="H383" s="77">
        <f t="shared" si="77"/>
        <v>0</v>
      </c>
      <c r="I383" s="77">
        <f t="shared" si="77"/>
        <v>0</v>
      </c>
      <c r="J383" s="77">
        <f t="shared" si="77"/>
        <v>0</v>
      </c>
      <c r="K383" s="44">
        <f t="shared" si="72"/>
        <v>0</v>
      </c>
    </row>
    <row r="384" spans="1:11" x14ac:dyDescent="0.45">
      <c r="A384" s="3" t="s">
        <v>7</v>
      </c>
      <c r="B384" s="77">
        <f t="shared" si="75"/>
        <v>0</v>
      </c>
      <c r="C384" s="77">
        <f t="shared" si="80"/>
        <v>0</v>
      </c>
      <c r="D384" s="77">
        <f t="shared" si="80"/>
        <v>0</v>
      </c>
      <c r="E384" s="77">
        <f t="shared" si="77"/>
        <v>4</v>
      </c>
      <c r="F384" s="77">
        <f t="shared" si="77"/>
        <v>2</v>
      </c>
      <c r="G384" s="77">
        <f t="shared" si="77"/>
        <v>0</v>
      </c>
      <c r="H384" s="77">
        <f t="shared" si="77"/>
        <v>0</v>
      </c>
      <c r="I384" s="77">
        <f t="shared" si="77"/>
        <v>0</v>
      </c>
      <c r="J384" s="77">
        <f t="shared" si="77"/>
        <v>0</v>
      </c>
      <c r="K384" s="44">
        <f t="shared" si="72"/>
        <v>6</v>
      </c>
    </row>
    <row r="385" spans="1:11" x14ac:dyDescent="0.45">
      <c r="A385" s="101" t="s">
        <v>83</v>
      </c>
      <c r="B385" s="77">
        <f t="shared" si="75"/>
        <v>0</v>
      </c>
      <c r="C385" s="77">
        <f t="shared" si="80"/>
        <v>0</v>
      </c>
      <c r="D385" s="77">
        <f t="shared" si="80"/>
        <v>0</v>
      </c>
      <c r="E385" s="77">
        <f t="shared" si="77"/>
        <v>0</v>
      </c>
      <c r="F385" s="77">
        <f t="shared" si="77"/>
        <v>0</v>
      </c>
      <c r="G385" s="77">
        <f t="shared" si="77"/>
        <v>0</v>
      </c>
      <c r="H385" s="77">
        <f t="shared" si="77"/>
        <v>0</v>
      </c>
      <c r="I385" s="77">
        <f t="shared" si="77"/>
        <v>0</v>
      </c>
      <c r="J385" s="77">
        <f t="shared" si="77"/>
        <v>0</v>
      </c>
      <c r="K385" s="44">
        <f t="shared" si="72"/>
        <v>0</v>
      </c>
    </row>
    <row r="386" spans="1:11" x14ac:dyDescent="0.45">
      <c r="A386" s="83" t="s">
        <v>50</v>
      </c>
      <c r="B386" s="77">
        <f t="shared" si="75"/>
        <v>0</v>
      </c>
      <c r="C386" s="77">
        <f t="shared" si="80"/>
        <v>0</v>
      </c>
      <c r="D386" s="77">
        <f t="shared" si="80"/>
        <v>0</v>
      </c>
      <c r="E386" s="77">
        <f t="shared" si="77"/>
        <v>0</v>
      </c>
      <c r="F386" s="77">
        <f t="shared" si="77"/>
        <v>0</v>
      </c>
      <c r="G386" s="77">
        <f t="shared" si="77"/>
        <v>0</v>
      </c>
      <c r="H386" s="77">
        <f t="shared" si="77"/>
        <v>0</v>
      </c>
      <c r="I386" s="77">
        <f t="shared" si="77"/>
        <v>0</v>
      </c>
      <c r="J386" s="77">
        <f t="shared" si="77"/>
        <v>0</v>
      </c>
      <c r="K386" s="44">
        <f t="shared" si="72"/>
        <v>0</v>
      </c>
    </row>
    <row r="387" spans="1:11" x14ac:dyDescent="0.45">
      <c r="A387" s="83" t="s">
        <v>51</v>
      </c>
      <c r="B387" s="77">
        <f t="shared" si="75"/>
        <v>0</v>
      </c>
      <c r="C387" s="77">
        <f t="shared" si="80"/>
        <v>0</v>
      </c>
      <c r="D387" s="77">
        <f t="shared" si="80"/>
        <v>0</v>
      </c>
      <c r="E387" s="77">
        <f t="shared" si="77"/>
        <v>0</v>
      </c>
      <c r="F387" s="77">
        <f t="shared" si="77"/>
        <v>0</v>
      </c>
      <c r="G387" s="77">
        <f t="shared" si="77"/>
        <v>0</v>
      </c>
      <c r="H387" s="77">
        <f t="shared" si="77"/>
        <v>0</v>
      </c>
      <c r="I387" s="77">
        <f t="shared" si="77"/>
        <v>1</v>
      </c>
      <c r="J387" s="77">
        <f t="shared" si="77"/>
        <v>0</v>
      </c>
      <c r="K387" s="44">
        <f t="shared" si="72"/>
        <v>1</v>
      </c>
    </row>
    <row r="388" spans="1:11" x14ac:dyDescent="0.45">
      <c r="A388" s="83" t="s">
        <v>42</v>
      </c>
      <c r="B388" s="77">
        <f t="shared" si="75"/>
        <v>0</v>
      </c>
      <c r="C388" s="77">
        <f t="shared" si="80"/>
        <v>0</v>
      </c>
      <c r="D388" s="77">
        <f t="shared" si="80"/>
        <v>0</v>
      </c>
      <c r="E388" s="77">
        <f t="shared" ref="E388:J397" si="81">E88+E131+E174+E217</f>
        <v>0</v>
      </c>
      <c r="F388" s="77">
        <f t="shared" si="81"/>
        <v>0</v>
      </c>
      <c r="G388" s="77">
        <f t="shared" si="81"/>
        <v>3</v>
      </c>
      <c r="H388" s="77">
        <f t="shared" si="81"/>
        <v>0</v>
      </c>
      <c r="I388" s="77">
        <f t="shared" si="81"/>
        <v>0</v>
      </c>
      <c r="J388" s="77">
        <f t="shared" si="81"/>
        <v>0</v>
      </c>
      <c r="K388" s="44">
        <f t="shared" si="72"/>
        <v>3</v>
      </c>
    </row>
    <row r="389" spans="1:11" x14ac:dyDescent="0.45">
      <c r="A389" s="3" t="s">
        <v>8</v>
      </c>
      <c r="B389" s="77">
        <f t="shared" si="75"/>
        <v>0</v>
      </c>
      <c r="C389" s="77">
        <f t="shared" si="80"/>
        <v>0</v>
      </c>
      <c r="D389" s="77">
        <f t="shared" si="80"/>
        <v>0</v>
      </c>
      <c r="E389" s="77">
        <f t="shared" si="81"/>
        <v>0</v>
      </c>
      <c r="F389" s="77">
        <f t="shared" si="81"/>
        <v>0</v>
      </c>
      <c r="G389" s="77">
        <f t="shared" si="81"/>
        <v>1</v>
      </c>
      <c r="H389" s="77">
        <f t="shared" si="81"/>
        <v>15</v>
      </c>
      <c r="I389" s="77">
        <f t="shared" si="81"/>
        <v>7</v>
      </c>
      <c r="J389" s="77">
        <f t="shared" si="81"/>
        <v>0</v>
      </c>
      <c r="K389" s="44">
        <f t="shared" si="72"/>
        <v>23</v>
      </c>
    </row>
    <row r="390" spans="1:11" x14ac:dyDescent="0.45">
      <c r="A390" s="3" t="s">
        <v>9</v>
      </c>
      <c r="B390" s="77">
        <f t="shared" si="75"/>
        <v>0</v>
      </c>
      <c r="C390" s="77">
        <f t="shared" si="80"/>
        <v>0</v>
      </c>
      <c r="D390" s="77">
        <f t="shared" si="80"/>
        <v>0</v>
      </c>
      <c r="E390" s="77">
        <f t="shared" si="81"/>
        <v>0</v>
      </c>
      <c r="F390" s="77">
        <f t="shared" si="81"/>
        <v>41</v>
      </c>
      <c r="G390" s="77">
        <f t="shared" si="81"/>
        <v>44</v>
      </c>
      <c r="H390" s="77">
        <f t="shared" si="81"/>
        <v>3</v>
      </c>
      <c r="I390" s="77">
        <f t="shared" si="81"/>
        <v>45</v>
      </c>
      <c r="J390" s="77">
        <f t="shared" si="81"/>
        <v>0</v>
      </c>
      <c r="K390" s="44">
        <f t="shared" si="72"/>
        <v>133</v>
      </c>
    </row>
    <row r="391" spans="1:11" x14ac:dyDescent="0.45">
      <c r="A391" s="83" t="s">
        <v>44</v>
      </c>
      <c r="B391" s="77">
        <f t="shared" si="75"/>
        <v>0</v>
      </c>
      <c r="C391" s="77">
        <f t="shared" si="80"/>
        <v>0</v>
      </c>
      <c r="D391" s="77">
        <f t="shared" si="80"/>
        <v>2</v>
      </c>
      <c r="E391" s="77">
        <f t="shared" si="81"/>
        <v>0</v>
      </c>
      <c r="F391" s="77">
        <f t="shared" si="81"/>
        <v>0</v>
      </c>
      <c r="G391" s="77">
        <f t="shared" si="81"/>
        <v>1</v>
      </c>
      <c r="H391" s="77">
        <f t="shared" si="81"/>
        <v>0</v>
      </c>
      <c r="I391" s="77">
        <f t="shared" si="81"/>
        <v>0</v>
      </c>
      <c r="J391" s="77">
        <f t="shared" si="81"/>
        <v>2</v>
      </c>
      <c r="K391" s="44">
        <f t="shared" si="72"/>
        <v>5</v>
      </c>
    </row>
    <row r="392" spans="1:11" x14ac:dyDescent="0.45">
      <c r="A392" s="3" t="s">
        <v>10</v>
      </c>
      <c r="B392" s="77">
        <f t="shared" si="75"/>
        <v>0</v>
      </c>
      <c r="C392" s="77">
        <f t="shared" si="80"/>
        <v>0</v>
      </c>
      <c r="D392" s="77">
        <f t="shared" si="80"/>
        <v>0</v>
      </c>
      <c r="E392" s="77">
        <f t="shared" si="81"/>
        <v>0</v>
      </c>
      <c r="F392" s="77">
        <f t="shared" si="81"/>
        <v>1</v>
      </c>
      <c r="G392" s="77">
        <f t="shared" si="81"/>
        <v>15</v>
      </c>
      <c r="H392" s="77">
        <f t="shared" si="81"/>
        <v>2</v>
      </c>
      <c r="I392" s="77">
        <f t="shared" si="81"/>
        <v>1</v>
      </c>
      <c r="J392" s="77">
        <f t="shared" si="81"/>
        <v>0</v>
      </c>
      <c r="K392" s="44">
        <f t="shared" si="72"/>
        <v>19</v>
      </c>
    </row>
    <row r="393" spans="1:11" x14ac:dyDescent="0.45">
      <c r="A393" s="3" t="s">
        <v>11</v>
      </c>
      <c r="B393" s="77">
        <f t="shared" si="75"/>
        <v>0</v>
      </c>
      <c r="C393" s="77">
        <f t="shared" si="80"/>
        <v>0</v>
      </c>
      <c r="D393" s="77">
        <f t="shared" si="80"/>
        <v>0</v>
      </c>
      <c r="E393" s="77">
        <f t="shared" si="81"/>
        <v>0</v>
      </c>
      <c r="F393" s="77">
        <f t="shared" si="81"/>
        <v>343</v>
      </c>
      <c r="G393" s="77">
        <f t="shared" si="81"/>
        <v>1622</v>
      </c>
      <c r="H393" s="77">
        <f t="shared" si="81"/>
        <v>431</v>
      </c>
      <c r="I393" s="77">
        <f t="shared" si="81"/>
        <v>320</v>
      </c>
      <c r="J393" s="77">
        <f t="shared" si="81"/>
        <v>21</v>
      </c>
      <c r="K393" s="44">
        <f t="shared" si="72"/>
        <v>2737</v>
      </c>
    </row>
    <row r="394" spans="1:11" x14ac:dyDescent="0.45">
      <c r="A394" s="3" t="s">
        <v>12</v>
      </c>
      <c r="B394" s="77">
        <f t="shared" si="75"/>
        <v>0</v>
      </c>
      <c r="C394" s="77">
        <f t="shared" si="80"/>
        <v>0</v>
      </c>
      <c r="D394" s="77">
        <f t="shared" si="80"/>
        <v>0</v>
      </c>
      <c r="E394" s="77">
        <f t="shared" si="81"/>
        <v>0</v>
      </c>
      <c r="F394" s="77">
        <f t="shared" si="81"/>
        <v>8</v>
      </c>
      <c r="G394" s="77">
        <f t="shared" si="81"/>
        <v>18</v>
      </c>
      <c r="H394" s="77">
        <f t="shared" si="81"/>
        <v>15</v>
      </c>
      <c r="I394" s="77">
        <f t="shared" si="81"/>
        <v>8</v>
      </c>
      <c r="J394" s="77">
        <f t="shared" si="81"/>
        <v>1</v>
      </c>
      <c r="K394" s="44">
        <f t="shared" si="72"/>
        <v>50</v>
      </c>
    </row>
    <row r="395" spans="1:11" x14ac:dyDescent="0.45">
      <c r="A395" s="83" t="s">
        <v>32</v>
      </c>
      <c r="B395" s="77">
        <f t="shared" si="75"/>
        <v>0</v>
      </c>
      <c r="C395" s="77">
        <f t="shared" si="80"/>
        <v>0</v>
      </c>
      <c r="D395" s="77">
        <f t="shared" si="80"/>
        <v>0</v>
      </c>
      <c r="E395" s="77">
        <f t="shared" si="81"/>
        <v>0</v>
      </c>
      <c r="F395" s="77">
        <f t="shared" si="81"/>
        <v>0</v>
      </c>
      <c r="G395" s="77">
        <f t="shared" si="81"/>
        <v>0</v>
      </c>
      <c r="H395" s="77">
        <f t="shared" si="81"/>
        <v>0</v>
      </c>
      <c r="I395" s="77">
        <f t="shared" si="81"/>
        <v>0</v>
      </c>
      <c r="J395" s="77">
        <f t="shared" si="81"/>
        <v>0</v>
      </c>
      <c r="K395" s="44">
        <f t="shared" si="72"/>
        <v>0</v>
      </c>
    </row>
    <row r="396" spans="1:11" x14ac:dyDescent="0.45">
      <c r="A396" s="3" t="s">
        <v>18</v>
      </c>
      <c r="B396" s="77">
        <f t="shared" si="75"/>
        <v>0</v>
      </c>
      <c r="C396" s="77">
        <f t="shared" si="80"/>
        <v>0</v>
      </c>
      <c r="D396" s="77">
        <f t="shared" si="80"/>
        <v>0</v>
      </c>
      <c r="E396" s="77">
        <f t="shared" si="81"/>
        <v>0</v>
      </c>
      <c r="F396" s="77">
        <f t="shared" si="81"/>
        <v>70</v>
      </c>
      <c r="G396" s="77">
        <f t="shared" si="81"/>
        <v>360</v>
      </c>
      <c r="H396" s="77">
        <f t="shared" si="81"/>
        <v>334</v>
      </c>
      <c r="I396" s="77">
        <f t="shared" si="81"/>
        <v>70</v>
      </c>
      <c r="J396" s="77">
        <f t="shared" si="81"/>
        <v>2</v>
      </c>
      <c r="K396" s="44">
        <f t="shared" si="72"/>
        <v>836</v>
      </c>
    </row>
    <row r="397" spans="1:11" x14ac:dyDescent="0.45">
      <c r="A397" s="83" t="s">
        <v>46</v>
      </c>
      <c r="B397" s="77">
        <f t="shared" si="75"/>
        <v>0</v>
      </c>
      <c r="C397" s="77">
        <f t="shared" si="80"/>
        <v>0</v>
      </c>
      <c r="D397" s="77">
        <f t="shared" si="80"/>
        <v>0</v>
      </c>
      <c r="E397" s="77">
        <f t="shared" si="81"/>
        <v>0</v>
      </c>
      <c r="F397" s="77">
        <f t="shared" si="81"/>
        <v>0</v>
      </c>
      <c r="G397" s="77">
        <f t="shared" si="81"/>
        <v>0</v>
      </c>
      <c r="H397" s="77">
        <f t="shared" si="81"/>
        <v>0</v>
      </c>
      <c r="I397" s="77">
        <f t="shared" si="81"/>
        <v>1</v>
      </c>
      <c r="J397" s="77">
        <f t="shared" si="81"/>
        <v>0</v>
      </c>
      <c r="K397" s="44">
        <f t="shared" si="72"/>
        <v>1</v>
      </c>
    </row>
    <row r="398" spans="1:11" x14ac:dyDescent="0.45">
      <c r="A398" s="3" t="s">
        <v>13</v>
      </c>
      <c r="B398" s="77">
        <f t="shared" si="75"/>
        <v>0</v>
      </c>
      <c r="C398" s="77">
        <f t="shared" si="80"/>
        <v>0</v>
      </c>
      <c r="D398" s="77">
        <f t="shared" si="80"/>
        <v>0</v>
      </c>
      <c r="E398" s="77">
        <f t="shared" ref="E398:J407" si="82">E98+E141+E184+E227</f>
        <v>0</v>
      </c>
      <c r="F398" s="77">
        <f t="shared" si="82"/>
        <v>0</v>
      </c>
      <c r="G398" s="77">
        <f t="shared" si="82"/>
        <v>0</v>
      </c>
      <c r="H398" s="77">
        <f t="shared" si="82"/>
        <v>0</v>
      </c>
      <c r="I398" s="77">
        <f t="shared" si="82"/>
        <v>40</v>
      </c>
      <c r="J398" s="77">
        <f t="shared" si="82"/>
        <v>0</v>
      </c>
      <c r="K398" s="44">
        <f t="shared" si="72"/>
        <v>40</v>
      </c>
    </row>
    <row r="399" spans="1:11" x14ac:dyDescent="0.45">
      <c r="A399" s="3" t="s">
        <v>14</v>
      </c>
      <c r="B399" s="77">
        <f t="shared" si="75"/>
        <v>0</v>
      </c>
      <c r="C399" s="77">
        <f t="shared" si="80"/>
        <v>0</v>
      </c>
      <c r="D399" s="77">
        <f t="shared" si="80"/>
        <v>0</v>
      </c>
      <c r="E399" s="77">
        <f t="shared" si="82"/>
        <v>0</v>
      </c>
      <c r="F399" s="77">
        <f t="shared" si="82"/>
        <v>206</v>
      </c>
      <c r="G399" s="77">
        <f t="shared" si="82"/>
        <v>256</v>
      </c>
      <c r="H399" s="77">
        <f t="shared" si="82"/>
        <v>88</v>
      </c>
      <c r="I399" s="77">
        <f t="shared" si="82"/>
        <v>28</v>
      </c>
      <c r="J399" s="77">
        <f t="shared" si="82"/>
        <v>0</v>
      </c>
      <c r="K399" s="44">
        <f t="shared" si="72"/>
        <v>578</v>
      </c>
    </row>
    <row r="400" spans="1:11" x14ac:dyDescent="0.45">
      <c r="A400" s="83" t="s">
        <v>40</v>
      </c>
      <c r="B400" s="77">
        <f t="shared" si="75"/>
        <v>1</v>
      </c>
      <c r="C400" s="77">
        <f t="shared" si="80"/>
        <v>0</v>
      </c>
      <c r="D400" s="77">
        <f t="shared" si="80"/>
        <v>1</v>
      </c>
      <c r="E400" s="77">
        <f t="shared" si="82"/>
        <v>0</v>
      </c>
      <c r="F400" s="77">
        <f t="shared" si="82"/>
        <v>0</v>
      </c>
      <c r="G400" s="77">
        <f t="shared" si="82"/>
        <v>0</v>
      </c>
      <c r="H400" s="77">
        <f t="shared" si="82"/>
        <v>0</v>
      </c>
      <c r="I400" s="77">
        <f t="shared" si="82"/>
        <v>0</v>
      </c>
      <c r="J400" s="77">
        <f t="shared" si="82"/>
        <v>0</v>
      </c>
      <c r="K400" s="44">
        <f t="shared" si="72"/>
        <v>2</v>
      </c>
    </row>
    <row r="401" spans="1:25" x14ac:dyDescent="0.45">
      <c r="A401" s="83" t="s">
        <v>52</v>
      </c>
      <c r="B401" s="77">
        <f t="shared" si="75"/>
        <v>0</v>
      </c>
      <c r="C401" s="77">
        <f t="shared" si="80"/>
        <v>0</v>
      </c>
      <c r="D401" s="77">
        <f t="shared" si="80"/>
        <v>0</v>
      </c>
      <c r="E401" s="77">
        <f t="shared" si="82"/>
        <v>0</v>
      </c>
      <c r="F401" s="77">
        <f t="shared" si="82"/>
        <v>0</v>
      </c>
      <c r="G401" s="77">
        <f t="shared" si="82"/>
        <v>0</v>
      </c>
      <c r="H401" s="77">
        <f t="shared" si="82"/>
        <v>0</v>
      </c>
      <c r="I401" s="77">
        <f t="shared" si="82"/>
        <v>0</v>
      </c>
      <c r="J401" s="77">
        <f t="shared" si="82"/>
        <v>0</v>
      </c>
      <c r="K401" s="44">
        <f t="shared" si="72"/>
        <v>0</v>
      </c>
    </row>
    <row r="402" spans="1:25" x14ac:dyDescent="0.45">
      <c r="A402" s="83" t="s">
        <v>53</v>
      </c>
      <c r="B402" s="77">
        <f t="shared" si="75"/>
        <v>0</v>
      </c>
      <c r="C402" s="77">
        <f t="shared" si="80"/>
        <v>0</v>
      </c>
      <c r="D402" s="77">
        <f t="shared" si="80"/>
        <v>0</v>
      </c>
      <c r="E402" s="77">
        <f t="shared" si="82"/>
        <v>0</v>
      </c>
      <c r="F402" s="77">
        <f t="shared" si="82"/>
        <v>0</v>
      </c>
      <c r="G402" s="77">
        <f t="shared" si="82"/>
        <v>0</v>
      </c>
      <c r="H402" s="77">
        <f t="shared" si="82"/>
        <v>0</v>
      </c>
      <c r="I402" s="77">
        <f t="shared" si="82"/>
        <v>0</v>
      </c>
      <c r="J402" s="77">
        <f t="shared" si="82"/>
        <v>0</v>
      </c>
      <c r="K402" s="44">
        <f t="shared" si="72"/>
        <v>0</v>
      </c>
    </row>
    <row r="403" spans="1:25" x14ac:dyDescent="0.45">
      <c r="A403" s="3" t="s">
        <v>15</v>
      </c>
      <c r="B403" s="77">
        <f t="shared" si="75"/>
        <v>0</v>
      </c>
      <c r="C403" s="77">
        <f t="shared" si="80"/>
        <v>0</v>
      </c>
      <c r="D403" s="77">
        <f t="shared" si="80"/>
        <v>0</v>
      </c>
      <c r="E403" s="77">
        <f t="shared" si="82"/>
        <v>0</v>
      </c>
      <c r="F403" s="77">
        <f t="shared" si="82"/>
        <v>0</v>
      </c>
      <c r="G403" s="77">
        <f t="shared" si="82"/>
        <v>0</v>
      </c>
      <c r="H403" s="77">
        <f t="shared" si="82"/>
        <v>0</v>
      </c>
      <c r="I403" s="77">
        <f t="shared" si="82"/>
        <v>0</v>
      </c>
      <c r="J403" s="77">
        <f t="shared" si="82"/>
        <v>0</v>
      </c>
      <c r="K403" s="44">
        <f t="shared" si="72"/>
        <v>0</v>
      </c>
    </row>
    <row r="404" spans="1:25" x14ac:dyDescent="0.45">
      <c r="A404" s="83" t="s">
        <v>54</v>
      </c>
      <c r="B404" s="77">
        <f t="shared" si="75"/>
        <v>0</v>
      </c>
      <c r="C404" s="77">
        <f t="shared" si="80"/>
        <v>0</v>
      </c>
      <c r="D404" s="77">
        <f t="shared" si="80"/>
        <v>0</v>
      </c>
      <c r="E404" s="77">
        <f t="shared" si="82"/>
        <v>0</v>
      </c>
      <c r="F404" s="77">
        <f t="shared" si="82"/>
        <v>0</v>
      </c>
      <c r="G404" s="77">
        <f t="shared" si="82"/>
        <v>0</v>
      </c>
      <c r="H404" s="77">
        <f t="shared" si="82"/>
        <v>0</v>
      </c>
      <c r="I404" s="77">
        <f t="shared" si="82"/>
        <v>0</v>
      </c>
      <c r="J404" s="77">
        <f t="shared" si="82"/>
        <v>2</v>
      </c>
      <c r="K404" s="44">
        <f t="shared" si="72"/>
        <v>2</v>
      </c>
    </row>
    <row r="405" spans="1:25" x14ac:dyDescent="0.45">
      <c r="A405" s="83" t="s">
        <v>47</v>
      </c>
      <c r="B405" s="77">
        <f t="shared" si="75"/>
        <v>0</v>
      </c>
      <c r="C405" s="77">
        <f t="shared" si="80"/>
        <v>0</v>
      </c>
      <c r="D405" s="77">
        <f t="shared" si="80"/>
        <v>0</v>
      </c>
      <c r="E405" s="77">
        <f t="shared" si="82"/>
        <v>0</v>
      </c>
      <c r="F405" s="77">
        <f t="shared" si="82"/>
        <v>33</v>
      </c>
      <c r="G405" s="77">
        <f t="shared" si="82"/>
        <v>53</v>
      </c>
      <c r="H405" s="77">
        <f t="shared" si="82"/>
        <v>57</v>
      </c>
      <c r="I405" s="77">
        <f t="shared" si="82"/>
        <v>10</v>
      </c>
      <c r="J405" s="77">
        <f t="shared" si="82"/>
        <v>0</v>
      </c>
      <c r="K405" s="44">
        <f t="shared" si="72"/>
        <v>153</v>
      </c>
    </row>
    <row r="406" spans="1:25" x14ac:dyDescent="0.45">
      <c r="A406" s="3" t="s">
        <v>16</v>
      </c>
      <c r="B406" s="77">
        <f t="shared" si="75"/>
        <v>0</v>
      </c>
      <c r="C406" s="77">
        <f t="shared" si="80"/>
        <v>0</v>
      </c>
      <c r="D406" s="77">
        <f t="shared" si="80"/>
        <v>0</v>
      </c>
      <c r="E406" s="77">
        <f t="shared" si="82"/>
        <v>0</v>
      </c>
      <c r="F406" s="77">
        <f t="shared" si="82"/>
        <v>0</v>
      </c>
      <c r="G406" s="77">
        <f t="shared" si="82"/>
        <v>0</v>
      </c>
      <c r="H406" s="77">
        <f t="shared" si="82"/>
        <v>0</v>
      </c>
      <c r="I406" s="77">
        <f t="shared" si="82"/>
        <v>1</v>
      </c>
      <c r="J406" s="77">
        <f t="shared" si="82"/>
        <v>0</v>
      </c>
      <c r="K406" s="44">
        <f t="shared" si="72"/>
        <v>1</v>
      </c>
    </row>
    <row r="407" spans="1:25" x14ac:dyDescent="0.45">
      <c r="A407" s="83" t="s">
        <v>55</v>
      </c>
      <c r="B407" s="77">
        <f t="shared" si="75"/>
        <v>0</v>
      </c>
      <c r="C407" s="77">
        <f t="shared" si="80"/>
        <v>0</v>
      </c>
      <c r="D407" s="77">
        <f t="shared" si="80"/>
        <v>0</v>
      </c>
      <c r="E407" s="77">
        <f t="shared" si="82"/>
        <v>0</v>
      </c>
      <c r="F407" s="77">
        <f t="shared" si="82"/>
        <v>0</v>
      </c>
      <c r="G407" s="77">
        <f t="shared" si="82"/>
        <v>0</v>
      </c>
      <c r="H407" s="77">
        <f t="shared" si="82"/>
        <v>0</v>
      </c>
      <c r="I407" s="77">
        <f t="shared" si="82"/>
        <v>0</v>
      </c>
      <c r="J407" s="77">
        <f t="shared" si="82"/>
        <v>0</v>
      </c>
      <c r="K407" s="44">
        <f t="shared" si="72"/>
        <v>0</v>
      </c>
    </row>
    <row r="408" spans="1:25" x14ac:dyDescent="0.45">
      <c r="A408" s="78" t="s">
        <v>17</v>
      </c>
      <c r="B408" s="77">
        <f t="shared" si="75"/>
        <v>0</v>
      </c>
      <c r="C408" s="77">
        <f t="shared" si="80"/>
        <v>0</v>
      </c>
      <c r="D408" s="77">
        <f t="shared" si="80"/>
        <v>0</v>
      </c>
      <c r="E408" s="77">
        <f t="shared" ref="E408:J408" si="83">E108+E151+E194+E237</f>
        <v>0</v>
      </c>
      <c r="F408" s="77">
        <f t="shared" si="83"/>
        <v>0</v>
      </c>
      <c r="G408" s="77">
        <f t="shared" si="83"/>
        <v>0</v>
      </c>
      <c r="H408" s="77">
        <f t="shared" si="83"/>
        <v>0</v>
      </c>
      <c r="I408" s="77">
        <f t="shared" si="83"/>
        <v>12</v>
      </c>
      <c r="J408" s="77">
        <f t="shared" si="83"/>
        <v>0</v>
      </c>
      <c r="K408" s="80">
        <f t="shared" si="72"/>
        <v>12</v>
      </c>
    </row>
    <row r="409" spans="1:25" x14ac:dyDescent="0.45">
      <c r="A409" s="10" t="s">
        <v>24</v>
      </c>
      <c r="B409" s="168">
        <f>SUM(B374:B408)</f>
        <v>2</v>
      </c>
      <c r="C409" s="164">
        <f>SUM(C374:C408)</f>
        <v>25</v>
      </c>
      <c r="D409" s="164">
        <f t="shared" ref="D409:J409" si="84">SUM(D374:D408)</f>
        <v>76</v>
      </c>
      <c r="E409" s="164">
        <f t="shared" si="84"/>
        <v>19</v>
      </c>
      <c r="F409" s="164">
        <f t="shared" si="84"/>
        <v>732</v>
      </c>
      <c r="G409" s="164">
        <f t="shared" si="84"/>
        <v>2422</v>
      </c>
      <c r="H409" s="164">
        <f t="shared" si="84"/>
        <v>995</v>
      </c>
      <c r="I409" s="164">
        <f t="shared" si="84"/>
        <v>617</v>
      </c>
      <c r="J409" s="164">
        <f t="shared" si="84"/>
        <v>67</v>
      </c>
      <c r="K409" s="44">
        <f t="shared" ref="K409" si="85">SUM(K373:K408)</f>
        <v>4955</v>
      </c>
      <c r="L409" s="17">
        <f>SUM(B409:J409)</f>
        <v>4955</v>
      </c>
    </row>
    <row r="410" spans="1:25" x14ac:dyDescent="0.45">
      <c r="B410" s="17"/>
      <c r="C410" s="17"/>
      <c r="D410" s="17"/>
      <c r="E410" s="17"/>
      <c r="F410" s="17"/>
      <c r="G410" s="17"/>
      <c r="H410" s="17"/>
      <c r="I410" s="17"/>
      <c r="J410" s="17"/>
      <c r="K410" s="17"/>
      <c r="O410" s="2"/>
      <c r="P410" s="2"/>
      <c r="Q410" s="2"/>
      <c r="R410" s="2"/>
      <c r="S410" s="2"/>
      <c r="T410" s="2"/>
      <c r="U410" s="2"/>
      <c r="V410" s="2"/>
      <c r="W410" s="2"/>
      <c r="X410" s="2"/>
      <c r="Y410" s="2"/>
    </row>
    <row r="420" spans="1:25" s="2" customFormat="1" x14ac:dyDescent="0.45">
      <c r="A420"/>
      <c r="B420"/>
      <c r="C420"/>
      <c r="D420"/>
      <c r="E420"/>
      <c r="F420"/>
      <c r="G420"/>
      <c r="H420"/>
      <c r="I420"/>
      <c r="J420"/>
      <c r="K420"/>
      <c r="L420"/>
      <c r="O420"/>
      <c r="P420"/>
      <c r="Q420"/>
      <c r="R420"/>
      <c r="S420"/>
      <c r="T420"/>
      <c r="U420"/>
      <c r="V420"/>
      <c r="W420"/>
      <c r="X420"/>
      <c r="Y420"/>
    </row>
    <row r="492" spans="15:25" s="2" customFormat="1" x14ac:dyDescent="0.45">
      <c r="O492"/>
      <c r="P492"/>
      <c r="Q492"/>
      <c r="R492"/>
      <c r="S492"/>
      <c r="T492"/>
      <c r="U492"/>
      <c r="V492"/>
      <c r="W492"/>
      <c r="X492"/>
      <c r="Y492"/>
    </row>
  </sheetData>
  <sortState xmlns:xlrd2="http://schemas.microsoft.com/office/spreadsheetml/2017/richdata2" ref="AB95:AL100">
    <sortCondition descending="1" ref="AL95:AL100"/>
  </sortState>
  <printOptions horizontalCentered="1" verticalCentered="1" gridLines="1"/>
  <pageMargins left="0.7" right="0.7" top="0.75" bottom="0.75" header="0.3" footer="0.3"/>
  <pageSetup scale="11" orientation="landscape"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S132"/>
  <sheetViews>
    <sheetView zoomScaleNormal="100" workbookViewId="0">
      <selection activeCell="A31" sqref="A31"/>
    </sheetView>
  </sheetViews>
  <sheetFormatPr defaultRowHeight="14.25" x14ac:dyDescent="0.45"/>
  <cols>
    <col min="1" max="1" width="25.73046875" customWidth="1"/>
    <col min="12" max="14" width="9.59765625" bestFit="1" customWidth="1"/>
    <col min="15" max="16" width="9.1328125" customWidth="1"/>
    <col min="17" max="17" width="25.73046875" customWidth="1"/>
    <col min="18" max="25" width="9.1328125" customWidth="1"/>
    <col min="26" max="26" width="9.73046875" bestFit="1" customWidth="1"/>
    <col min="27" max="27" width="10.59765625" bestFit="1" customWidth="1"/>
    <col min="28" max="28" width="9.1328125" customWidth="1"/>
    <col min="29" max="29" width="10.59765625" bestFit="1" customWidth="1"/>
    <col min="30" max="30" width="9.1328125" customWidth="1"/>
    <col min="32" max="32" width="25.73046875" customWidth="1"/>
    <col min="33" max="36" width="9.59765625" bestFit="1" customWidth="1"/>
    <col min="37" max="37" width="10.59765625" bestFit="1" customWidth="1"/>
    <col min="38" max="40" width="9.86328125" bestFit="1" customWidth="1"/>
    <col min="41" max="68" width="9.1328125" customWidth="1"/>
  </cols>
  <sheetData>
    <row r="1" spans="1:123" x14ac:dyDescent="0.45">
      <c r="B1" s="1"/>
    </row>
    <row r="2" spans="1:123" x14ac:dyDescent="0.45">
      <c r="A2" s="1" t="s">
        <v>0</v>
      </c>
      <c r="M2" s="2"/>
    </row>
    <row r="3" spans="1:123" x14ac:dyDescent="0.45">
      <c r="A3" s="1" t="s">
        <v>222</v>
      </c>
      <c r="M3" s="2"/>
    </row>
    <row r="4" spans="1:123" x14ac:dyDescent="0.45">
      <c r="A4" s="1" t="s">
        <v>147</v>
      </c>
      <c r="M4" s="2"/>
    </row>
    <row r="6" spans="1:123" x14ac:dyDescent="0.45">
      <c r="A6" s="2" t="s">
        <v>226</v>
      </c>
    </row>
    <row r="8" spans="1:123" x14ac:dyDescent="0.45">
      <c r="A8" s="1" t="s">
        <v>222</v>
      </c>
    </row>
    <row r="9" spans="1:123" x14ac:dyDescent="0.45">
      <c r="A9" s="1" t="s">
        <v>138</v>
      </c>
      <c r="D9" s="2"/>
      <c r="E9" s="2"/>
      <c r="F9" s="2"/>
      <c r="G9" s="2"/>
      <c r="H9" s="2"/>
      <c r="I9" s="2"/>
      <c r="J9" s="2"/>
      <c r="K9" s="2"/>
      <c r="P9" s="2"/>
      <c r="AE9" s="2"/>
    </row>
    <row r="10" spans="1:123" x14ac:dyDescent="0.45">
      <c r="A10" s="2" t="s">
        <v>31</v>
      </c>
      <c r="C10" s="2"/>
      <c r="E10" s="2"/>
      <c r="F10" s="2"/>
      <c r="G10" s="2"/>
      <c r="H10" s="2"/>
      <c r="I10" s="2"/>
      <c r="J10" s="2"/>
      <c r="K10" s="2"/>
      <c r="Q10" s="2"/>
      <c r="R10" s="2"/>
      <c r="S10" s="2"/>
      <c r="AP10" s="1"/>
      <c r="AQ10" s="2"/>
      <c r="AR10" s="2"/>
      <c r="AS10" s="2"/>
      <c r="AT10" s="2"/>
      <c r="AU10" s="2"/>
      <c r="AV10" s="2"/>
      <c r="AW10" s="2"/>
      <c r="AX10" s="2"/>
      <c r="AY10" s="2"/>
      <c r="AZ10" s="2"/>
      <c r="BA10" s="2"/>
      <c r="BB10" s="2"/>
      <c r="BC10" s="2"/>
      <c r="BD10" s="2"/>
      <c r="BE10" s="2"/>
    </row>
    <row r="11" spans="1:123" x14ac:dyDescent="0.45">
      <c r="A11" s="2" t="s">
        <v>201</v>
      </c>
      <c r="E11" s="2"/>
      <c r="F11" s="2"/>
      <c r="G11" s="2"/>
      <c r="H11" s="2"/>
      <c r="I11" s="2"/>
      <c r="J11" s="2"/>
      <c r="K11" s="2"/>
      <c r="Q11" s="1" t="s">
        <v>222</v>
      </c>
      <c r="R11" s="2"/>
      <c r="AF11" s="1" t="s">
        <v>222</v>
      </c>
      <c r="AR11" s="1"/>
      <c r="AS11" s="2"/>
      <c r="AT11" s="2"/>
      <c r="AU11" s="2"/>
      <c r="AV11" s="2"/>
      <c r="AW11" s="2"/>
      <c r="AX11" s="2"/>
      <c r="AY11" s="2"/>
      <c r="AZ11" s="2"/>
      <c r="BA11" s="2"/>
      <c r="BB11" s="2"/>
      <c r="BC11" s="2"/>
      <c r="BD11" s="2"/>
      <c r="BE11" s="2"/>
      <c r="BF11" s="2"/>
      <c r="BG11" s="2"/>
      <c r="BH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row>
    <row r="12" spans="1:123" x14ac:dyDescent="0.45">
      <c r="A12" s="2" t="s">
        <v>202</v>
      </c>
      <c r="Q12" s="1" t="s">
        <v>138</v>
      </c>
      <c r="AF12" s="1" t="s">
        <v>138</v>
      </c>
      <c r="AG12" s="2"/>
      <c r="AH12" s="2"/>
      <c r="AI12" s="2"/>
      <c r="AJ12" s="2"/>
      <c r="AK12" s="77"/>
      <c r="AL12" s="77"/>
      <c r="AM12" s="77"/>
      <c r="AN12" s="77"/>
      <c r="AO12" s="77"/>
      <c r="AP12" s="77"/>
      <c r="AR12" s="2"/>
      <c r="AS12" s="2"/>
      <c r="AT12" s="2"/>
      <c r="AU12" s="2"/>
      <c r="AV12" s="2"/>
      <c r="AW12" s="2"/>
      <c r="AX12" s="2"/>
      <c r="AY12" s="2"/>
      <c r="AZ12" s="2"/>
      <c r="BA12" s="2"/>
      <c r="BB12" s="2"/>
      <c r="BC12" s="2"/>
      <c r="BD12" s="2"/>
      <c r="BE12" s="2"/>
      <c r="BF12" s="2"/>
      <c r="BG12" s="2"/>
      <c r="BH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row>
    <row r="13" spans="1:123" x14ac:dyDescent="0.45">
      <c r="P13" s="73"/>
      <c r="Q13" s="2" t="s">
        <v>173</v>
      </c>
      <c r="R13" s="2"/>
      <c r="S13" s="2"/>
      <c r="T13" s="2"/>
      <c r="U13" s="2"/>
      <c r="V13" s="2"/>
      <c r="W13" s="2"/>
      <c r="X13" s="2"/>
      <c r="Y13" s="2"/>
      <c r="Z13" s="2"/>
      <c r="AA13" s="2"/>
      <c r="AF13" s="14" t="s">
        <v>65</v>
      </c>
      <c r="AG13" s="2"/>
      <c r="AH13" s="2"/>
      <c r="AI13" s="2"/>
      <c r="AJ13" s="2"/>
      <c r="AK13" s="2"/>
      <c r="AL13" s="2"/>
      <c r="AM13" s="2"/>
      <c r="AN13" s="2"/>
      <c r="AO13" s="2"/>
      <c r="AP13" s="2"/>
      <c r="AR13" s="2"/>
      <c r="AS13" s="2"/>
      <c r="BE13" s="2"/>
      <c r="BF13" s="2"/>
      <c r="BG13" s="2"/>
      <c r="BH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row>
    <row r="14" spans="1:123" x14ac:dyDescent="0.45">
      <c r="A14" s="2"/>
      <c r="B14" s="1" t="s">
        <v>20</v>
      </c>
      <c r="C14" s="180"/>
      <c r="D14" s="180"/>
      <c r="E14" s="180"/>
      <c r="F14" s="1" t="s">
        <v>21</v>
      </c>
      <c r="G14" s="180"/>
      <c r="H14" s="180"/>
      <c r="I14" s="180"/>
      <c r="J14" s="180"/>
      <c r="K14" s="2"/>
      <c r="P14" s="73"/>
      <c r="Q14" s="2"/>
      <c r="R14" s="1" t="s">
        <v>20</v>
      </c>
      <c r="S14" s="180"/>
      <c r="T14" s="180"/>
      <c r="U14" s="180"/>
      <c r="V14" s="1" t="s">
        <v>21</v>
      </c>
      <c r="W14" s="180"/>
      <c r="X14" s="180"/>
      <c r="Y14" s="180"/>
      <c r="Z14" s="180"/>
      <c r="AA14" s="2"/>
      <c r="AF14" s="2"/>
      <c r="AG14" s="1" t="s">
        <v>20</v>
      </c>
      <c r="AH14" s="180"/>
      <c r="AI14" s="180"/>
      <c r="AJ14" s="180"/>
      <c r="AK14" s="1" t="s">
        <v>21</v>
      </c>
      <c r="AL14" s="180"/>
      <c r="AM14" s="180"/>
      <c r="AN14" s="180"/>
      <c r="AO14" s="180"/>
      <c r="AP14" s="2"/>
      <c r="AR14" s="100"/>
      <c r="AS14" s="100"/>
      <c r="BE14" s="103"/>
      <c r="BF14" s="2"/>
      <c r="BG14" s="2"/>
      <c r="BH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row>
    <row r="15" spans="1:123" x14ac:dyDescent="0.45">
      <c r="A15" s="26" t="s">
        <v>19</v>
      </c>
      <c r="B15" s="88">
        <v>13</v>
      </c>
      <c r="C15" s="91">
        <v>18</v>
      </c>
      <c r="D15" s="91">
        <v>23</v>
      </c>
      <c r="E15" s="91">
        <v>28</v>
      </c>
      <c r="F15" s="91">
        <v>3</v>
      </c>
      <c r="G15" s="91">
        <v>8</v>
      </c>
      <c r="H15" s="91">
        <v>13</v>
      </c>
      <c r="I15" s="91">
        <v>18</v>
      </c>
      <c r="J15" s="91">
        <v>23</v>
      </c>
      <c r="K15" s="8" t="s">
        <v>24</v>
      </c>
      <c r="P15" s="22" t="s">
        <v>141</v>
      </c>
      <c r="Q15" s="108" t="s">
        <v>19</v>
      </c>
      <c r="R15" s="88">
        <v>13</v>
      </c>
      <c r="S15" s="91">
        <v>18</v>
      </c>
      <c r="T15" s="91">
        <v>23</v>
      </c>
      <c r="U15" s="91">
        <v>28</v>
      </c>
      <c r="V15" s="91">
        <v>3</v>
      </c>
      <c r="W15" s="91">
        <v>8</v>
      </c>
      <c r="X15" s="91">
        <v>13</v>
      </c>
      <c r="Y15" s="91">
        <v>18</v>
      </c>
      <c r="Z15" s="91">
        <v>23</v>
      </c>
      <c r="AA15" s="183" t="s">
        <v>24</v>
      </c>
      <c r="AF15" s="108" t="s">
        <v>19</v>
      </c>
      <c r="AG15" s="127">
        <v>13</v>
      </c>
      <c r="AH15" s="128">
        <v>18</v>
      </c>
      <c r="AI15" s="128">
        <v>23</v>
      </c>
      <c r="AJ15" s="128">
        <v>28</v>
      </c>
      <c r="AK15" s="128">
        <v>3</v>
      </c>
      <c r="AL15" s="128">
        <v>8</v>
      </c>
      <c r="AM15" s="128">
        <v>13</v>
      </c>
      <c r="AN15" s="128">
        <v>18</v>
      </c>
      <c r="AO15" s="128">
        <v>23</v>
      </c>
      <c r="AP15" s="183" t="s">
        <v>24</v>
      </c>
      <c r="AR15" s="138"/>
      <c r="AS15" s="138"/>
      <c r="BE15" s="139"/>
      <c r="BF15" s="103"/>
      <c r="BG15" s="100"/>
      <c r="BH15" s="100"/>
      <c r="DS15" s="2"/>
    </row>
    <row r="16" spans="1:123" x14ac:dyDescent="0.45">
      <c r="A16" s="3" t="s">
        <v>1</v>
      </c>
      <c r="B16" s="77"/>
      <c r="C16" s="77"/>
      <c r="D16" s="77"/>
      <c r="E16" s="77">
        <v>1</v>
      </c>
      <c r="F16" s="77"/>
      <c r="G16" s="77">
        <v>1</v>
      </c>
      <c r="H16" s="77">
        <v>3</v>
      </c>
      <c r="I16" s="77">
        <v>2</v>
      </c>
      <c r="J16" s="77"/>
      <c r="K16" s="77">
        <f>SUM(B16:J16)</f>
        <v>7</v>
      </c>
      <c r="P16" s="73">
        <v>1</v>
      </c>
      <c r="Q16" s="162" t="s">
        <v>1</v>
      </c>
      <c r="U16">
        <v>1</v>
      </c>
      <c r="W16">
        <v>1</v>
      </c>
      <c r="X16">
        <v>3</v>
      </c>
      <c r="Y16">
        <v>2</v>
      </c>
      <c r="AA16">
        <v>7</v>
      </c>
      <c r="AF16" s="162" t="s">
        <v>11</v>
      </c>
      <c r="AL16">
        <v>16</v>
      </c>
      <c r="AM16">
        <v>50</v>
      </c>
      <c r="AN16">
        <v>12</v>
      </c>
      <c r="AO16">
        <v>2</v>
      </c>
      <c r="AP16">
        <v>80</v>
      </c>
      <c r="AR16" s="2"/>
      <c r="AS16" s="2"/>
      <c r="BE16" s="105"/>
      <c r="BF16" s="139"/>
      <c r="BG16" s="138"/>
      <c r="BH16" s="138"/>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DS16" s="102"/>
    </row>
    <row r="17" spans="1:123" x14ac:dyDescent="0.45">
      <c r="A17" s="83" t="s">
        <v>49</v>
      </c>
      <c r="B17" s="77"/>
      <c r="C17" s="77"/>
      <c r="D17" s="77"/>
      <c r="E17" s="77"/>
      <c r="F17" s="77"/>
      <c r="G17" s="77"/>
      <c r="H17" s="77"/>
      <c r="I17" s="77"/>
      <c r="J17" s="77"/>
      <c r="K17" s="77">
        <f t="shared" ref="K17:K50" si="0">SUM(B17:J17)</f>
        <v>0</v>
      </c>
      <c r="P17" s="73">
        <v>2</v>
      </c>
      <c r="Q17" s="90" t="s">
        <v>41</v>
      </c>
      <c r="S17">
        <v>9</v>
      </c>
      <c r="T17">
        <v>4</v>
      </c>
      <c r="U17">
        <v>3</v>
      </c>
      <c r="W17">
        <v>2</v>
      </c>
      <c r="X17">
        <v>2</v>
      </c>
      <c r="Y17">
        <v>1</v>
      </c>
      <c r="AA17">
        <v>21</v>
      </c>
      <c r="AF17" s="90" t="s">
        <v>3</v>
      </c>
      <c r="AH17">
        <v>9</v>
      </c>
      <c r="AI17">
        <v>11</v>
      </c>
      <c r="AJ17">
        <v>4</v>
      </c>
      <c r="AK17">
        <v>4</v>
      </c>
      <c r="AL17">
        <v>7</v>
      </c>
      <c r="AM17">
        <v>5</v>
      </c>
      <c r="AN17">
        <v>6</v>
      </c>
      <c r="AO17">
        <v>5</v>
      </c>
      <c r="AP17">
        <v>51</v>
      </c>
      <c r="AR17" s="2"/>
      <c r="AS17" s="2"/>
      <c r="BE17" s="141"/>
      <c r="BF17" s="141"/>
      <c r="BG17" s="14"/>
      <c r="BH17" s="2"/>
      <c r="BR17" s="98"/>
      <c r="BS17" s="2"/>
      <c r="BT17" s="105"/>
      <c r="BU17" s="105"/>
      <c r="BV17" s="2"/>
      <c r="BW17" s="2"/>
      <c r="BX17" s="2"/>
      <c r="BY17" s="2"/>
      <c r="BZ17" s="2"/>
      <c r="CA17" s="2"/>
      <c r="CB17" s="2"/>
      <c r="CC17" s="2"/>
      <c r="CD17" s="105"/>
      <c r="CE17" s="105"/>
      <c r="CF17" s="2"/>
      <c r="CG17" s="2"/>
      <c r="CH17" s="2"/>
      <c r="CI17" s="2"/>
      <c r="CJ17" s="2"/>
      <c r="CK17" s="2"/>
      <c r="CL17" s="2"/>
      <c r="CM17" s="2"/>
      <c r="CN17" s="105"/>
      <c r="CO17" s="105"/>
      <c r="CP17" s="2"/>
      <c r="CQ17" s="2"/>
      <c r="DS17" s="17"/>
    </row>
    <row r="18" spans="1:123" x14ac:dyDescent="0.45">
      <c r="A18" s="83" t="s">
        <v>45</v>
      </c>
      <c r="B18" s="77"/>
      <c r="C18" s="77"/>
      <c r="D18" s="77"/>
      <c r="E18" s="77"/>
      <c r="F18" s="77"/>
      <c r="G18" s="77"/>
      <c r="H18" s="77"/>
      <c r="I18" s="77"/>
      <c r="J18" s="77"/>
      <c r="K18" s="77">
        <f t="shared" si="0"/>
        <v>0</v>
      </c>
      <c r="P18" s="73">
        <v>3</v>
      </c>
      <c r="Q18" s="90" t="s">
        <v>2</v>
      </c>
      <c r="U18">
        <v>1</v>
      </c>
      <c r="V18">
        <v>2</v>
      </c>
      <c r="W18">
        <v>4</v>
      </c>
      <c r="X18">
        <v>2</v>
      </c>
      <c r="Y18">
        <v>1</v>
      </c>
      <c r="AA18">
        <v>10</v>
      </c>
      <c r="AF18" s="90" t="s">
        <v>14</v>
      </c>
      <c r="AL18">
        <v>3</v>
      </c>
      <c r="AM18">
        <v>28</v>
      </c>
      <c r="AN18">
        <v>6</v>
      </c>
      <c r="AO18">
        <v>4</v>
      </c>
      <c r="AP18">
        <v>41</v>
      </c>
      <c r="AR18" s="2"/>
      <c r="AS18" s="2"/>
      <c r="BF18" s="141"/>
      <c r="BG18" s="14"/>
      <c r="BH18" s="2"/>
      <c r="BR18" s="98"/>
      <c r="BS18" s="2"/>
      <c r="BT18" s="105"/>
      <c r="BU18" s="105"/>
      <c r="BV18" s="2"/>
      <c r="BW18" s="2"/>
      <c r="BX18" s="2"/>
      <c r="BY18" s="2"/>
      <c r="BZ18" s="2"/>
      <c r="CA18" s="2"/>
      <c r="CB18" s="2"/>
      <c r="CC18" s="2"/>
      <c r="CD18" s="105"/>
      <c r="CE18" s="105"/>
      <c r="CF18" s="2"/>
      <c r="CG18" s="2"/>
      <c r="CH18" s="2"/>
      <c r="CI18" s="2"/>
      <c r="CJ18" s="2"/>
      <c r="CK18" s="2"/>
      <c r="CL18" s="2"/>
      <c r="CM18" s="2"/>
      <c r="CN18" s="105"/>
      <c r="CO18" s="105"/>
      <c r="CP18" s="2"/>
      <c r="CQ18" s="2"/>
      <c r="DS18" s="17"/>
    </row>
    <row r="19" spans="1:123" x14ac:dyDescent="0.45">
      <c r="A19" s="83" t="s">
        <v>41</v>
      </c>
      <c r="B19" s="77"/>
      <c r="C19" s="77">
        <v>9</v>
      </c>
      <c r="D19" s="77">
        <v>4</v>
      </c>
      <c r="E19" s="77">
        <v>3</v>
      </c>
      <c r="F19" s="77"/>
      <c r="G19" s="77">
        <v>2</v>
      </c>
      <c r="H19" s="77">
        <v>2</v>
      </c>
      <c r="I19" s="77">
        <v>1</v>
      </c>
      <c r="J19" s="77"/>
      <c r="K19" s="77">
        <f t="shared" si="0"/>
        <v>21</v>
      </c>
      <c r="P19" s="73">
        <v>4</v>
      </c>
      <c r="Q19" s="90" t="s">
        <v>3</v>
      </c>
      <c r="S19">
        <v>9</v>
      </c>
      <c r="T19">
        <v>11</v>
      </c>
      <c r="U19">
        <v>4</v>
      </c>
      <c r="V19">
        <v>4</v>
      </c>
      <c r="W19">
        <v>7</v>
      </c>
      <c r="X19">
        <v>5</v>
      </c>
      <c r="Y19">
        <v>6</v>
      </c>
      <c r="Z19">
        <v>5</v>
      </c>
      <c r="AA19">
        <v>51</v>
      </c>
      <c r="AF19" s="90" t="s">
        <v>7</v>
      </c>
      <c r="AK19">
        <v>7</v>
      </c>
      <c r="AM19">
        <v>7</v>
      </c>
      <c r="AN19">
        <v>8</v>
      </c>
      <c r="AO19">
        <v>5</v>
      </c>
      <c r="AP19">
        <v>27</v>
      </c>
      <c r="AR19" s="2"/>
      <c r="AS19" s="2"/>
      <c r="BE19" s="105"/>
      <c r="BF19" s="105"/>
      <c r="BG19" s="2"/>
      <c r="BH19" s="2"/>
      <c r="BR19" s="98"/>
      <c r="BS19" s="2"/>
      <c r="BT19" s="105"/>
      <c r="BU19" s="105"/>
      <c r="BV19" s="2"/>
      <c r="BW19" s="2"/>
      <c r="BX19" s="2"/>
      <c r="BY19" s="2"/>
      <c r="BZ19" s="2"/>
      <c r="CA19" s="2"/>
      <c r="CB19" s="2"/>
      <c r="CC19" s="2"/>
      <c r="CD19" s="105"/>
      <c r="CE19" s="105"/>
      <c r="CF19" s="2"/>
      <c r="CG19" s="2"/>
      <c r="CH19" s="2"/>
      <c r="CI19" s="2"/>
      <c r="CJ19" s="2"/>
      <c r="CK19" s="2"/>
      <c r="CL19" s="2"/>
      <c r="CM19" s="2"/>
      <c r="CN19" s="105"/>
      <c r="CO19" s="105"/>
      <c r="CP19" s="2"/>
      <c r="CQ19" s="2"/>
      <c r="DS19" s="17"/>
    </row>
    <row r="20" spans="1:123" x14ac:dyDescent="0.45">
      <c r="A20" s="3" t="s">
        <v>2</v>
      </c>
      <c r="B20" s="77"/>
      <c r="C20" s="77"/>
      <c r="D20" s="77"/>
      <c r="E20" s="77">
        <v>1</v>
      </c>
      <c r="F20" s="77">
        <v>2</v>
      </c>
      <c r="G20" s="77">
        <v>4</v>
      </c>
      <c r="H20" s="77">
        <v>2</v>
      </c>
      <c r="I20" s="77">
        <v>1</v>
      </c>
      <c r="J20" s="77"/>
      <c r="K20" s="77">
        <f t="shared" si="0"/>
        <v>10</v>
      </c>
      <c r="P20" s="73">
        <v>5</v>
      </c>
      <c r="Q20" s="90" t="s">
        <v>6</v>
      </c>
      <c r="Z20">
        <v>2</v>
      </c>
      <c r="AA20">
        <v>2</v>
      </c>
      <c r="AF20" s="90" t="s">
        <v>41</v>
      </c>
      <c r="AH20">
        <v>9</v>
      </c>
      <c r="AI20">
        <v>4</v>
      </c>
      <c r="AJ20">
        <v>3</v>
      </c>
      <c r="AL20">
        <v>2</v>
      </c>
      <c r="AM20">
        <v>2</v>
      </c>
      <c r="AN20">
        <v>1</v>
      </c>
      <c r="AP20">
        <v>21</v>
      </c>
      <c r="AR20" s="2"/>
      <c r="AS20" s="2"/>
      <c r="BE20" s="105"/>
      <c r="BF20" s="105"/>
      <c r="BG20" s="2"/>
      <c r="BH20" s="2"/>
      <c r="BR20" s="2"/>
      <c r="BS20" s="2"/>
      <c r="BT20" s="105"/>
      <c r="BU20" s="105"/>
      <c r="BV20" s="2"/>
      <c r="BW20" s="2"/>
      <c r="BX20" s="2"/>
      <c r="BY20" s="2"/>
      <c r="BZ20" s="2"/>
      <c r="CA20" s="2"/>
      <c r="CB20" s="2"/>
      <c r="CC20" s="2"/>
      <c r="CD20" s="105"/>
      <c r="CE20" s="105"/>
      <c r="CF20" s="2"/>
      <c r="CG20" s="2"/>
      <c r="CH20" s="2"/>
      <c r="CI20" s="2"/>
      <c r="CJ20" s="2"/>
      <c r="CK20" s="2"/>
      <c r="CL20" s="2"/>
      <c r="CM20" s="2"/>
      <c r="CN20" s="105"/>
      <c r="CO20" s="105"/>
      <c r="CP20" s="2"/>
      <c r="CQ20" s="2"/>
      <c r="DS20" s="17"/>
    </row>
    <row r="21" spans="1:123" x14ac:dyDescent="0.45">
      <c r="A21" s="83" t="s">
        <v>43</v>
      </c>
      <c r="B21" s="77"/>
      <c r="C21" s="77"/>
      <c r="D21" s="77"/>
      <c r="E21" s="77"/>
      <c r="F21" s="77"/>
      <c r="G21" s="77"/>
      <c r="H21" s="77"/>
      <c r="I21" s="77"/>
      <c r="J21" s="77"/>
      <c r="K21" s="77">
        <f t="shared" si="0"/>
        <v>0</v>
      </c>
      <c r="P21" s="73">
        <v>6</v>
      </c>
      <c r="Q21" s="90" t="s">
        <v>7</v>
      </c>
      <c r="V21">
        <v>7</v>
      </c>
      <c r="X21">
        <v>7</v>
      </c>
      <c r="Y21">
        <v>8</v>
      </c>
      <c r="Z21">
        <v>5</v>
      </c>
      <c r="AA21">
        <v>27</v>
      </c>
      <c r="AF21" s="90" t="s">
        <v>15</v>
      </c>
      <c r="AL21">
        <v>1</v>
      </c>
      <c r="AM21">
        <v>7</v>
      </c>
      <c r="AN21">
        <v>3</v>
      </c>
      <c r="AP21">
        <v>11</v>
      </c>
      <c r="AR21" s="2"/>
      <c r="AS21" s="2"/>
      <c r="AT21" s="2"/>
      <c r="AU21" s="2"/>
      <c r="AV21" s="105"/>
      <c r="AW21" s="105"/>
      <c r="AX21" s="2"/>
      <c r="AY21" s="2"/>
      <c r="AZ21" s="2"/>
      <c r="BA21" s="2"/>
      <c r="BB21" s="2"/>
      <c r="BC21" s="2"/>
      <c r="BD21" s="2"/>
      <c r="BE21" s="105"/>
      <c r="BF21" s="105"/>
      <c r="BG21" s="2"/>
      <c r="BH21" s="2"/>
      <c r="BR21" s="2"/>
      <c r="BS21" s="2"/>
      <c r="BT21" s="105"/>
      <c r="BU21" s="105"/>
      <c r="BV21" s="2"/>
      <c r="BW21" s="2"/>
      <c r="BX21" s="2"/>
      <c r="BY21" s="2"/>
      <c r="BZ21" s="2"/>
      <c r="CA21" s="2"/>
      <c r="CB21" s="2"/>
      <c r="CC21" s="2"/>
      <c r="CD21" s="105"/>
      <c r="CE21" s="105"/>
      <c r="CF21" s="2"/>
      <c r="CG21" s="2"/>
      <c r="CH21" s="2"/>
      <c r="CI21" s="2"/>
      <c r="CJ21" s="2"/>
      <c r="CK21" s="2"/>
      <c r="CL21" s="2"/>
      <c r="CM21" s="2"/>
      <c r="CN21" s="105"/>
      <c r="CO21" s="105"/>
      <c r="CP21" s="2"/>
      <c r="CQ21" s="2"/>
      <c r="DS21" s="17"/>
    </row>
    <row r="22" spans="1:123" x14ac:dyDescent="0.45">
      <c r="A22" s="3" t="s">
        <v>3</v>
      </c>
      <c r="B22" s="77"/>
      <c r="C22" s="77">
        <v>9</v>
      </c>
      <c r="D22" s="77">
        <v>11</v>
      </c>
      <c r="E22" s="77">
        <v>4</v>
      </c>
      <c r="F22" s="77">
        <v>4</v>
      </c>
      <c r="G22" s="77">
        <v>7</v>
      </c>
      <c r="H22" s="77">
        <v>5</v>
      </c>
      <c r="I22" s="77">
        <v>6</v>
      </c>
      <c r="J22" s="77">
        <v>5</v>
      </c>
      <c r="K22" s="77">
        <f t="shared" si="0"/>
        <v>51</v>
      </c>
      <c r="P22" s="73">
        <v>7</v>
      </c>
      <c r="Q22" s="90" t="s">
        <v>42</v>
      </c>
      <c r="Y22">
        <v>1</v>
      </c>
      <c r="AA22">
        <v>1</v>
      </c>
      <c r="AF22" s="90" t="s">
        <v>2</v>
      </c>
      <c r="AJ22">
        <v>1</v>
      </c>
      <c r="AK22">
        <v>2</v>
      </c>
      <c r="AL22">
        <v>4</v>
      </c>
      <c r="AM22">
        <v>2</v>
      </c>
      <c r="AN22">
        <v>1</v>
      </c>
      <c r="AP22">
        <v>10</v>
      </c>
      <c r="AR22" s="2"/>
      <c r="AS22" s="2"/>
      <c r="AT22" s="2"/>
      <c r="AU22" s="2"/>
      <c r="AV22" s="105"/>
      <c r="AW22" s="105"/>
      <c r="AX22" s="2"/>
      <c r="AY22" s="2"/>
      <c r="AZ22" s="2"/>
      <c r="BA22" s="2"/>
      <c r="BB22" s="2"/>
      <c r="BC22" s="2"/>
      <c r="BD22" s="2"/>
      <c r="BE22" s="105"/>
      <c r="BF22" s="105"/>
      <c r="BG22" s="2"/>
      <c r="BH22" s="2"/>
      <c r="BR22" s="2"/>
      <c r="BS22" s="2"/>
      <c r="BT22" s="105"/>
      <c r="BU22" s="105"/>
      <c r="BV22" s="2"/>
      <c r="BW22" s="2"/>
      <c r="BX22" s="2"/>
      <c r="BY22" s="2"/>
      <c r="BZ22" s="2"/>
      <c r="CA22" s="2"/>
      <c r="CB22" s="2"/>
      <c r="CC22" s="2"/>
      <c r="CD22" s="105"/>
      <c r="CE22" s="105"/>
      <c r="CF22" s="2"/>
      <c r="CG22" s="2"/>
      <c r="CH22" s="2"/>
      <c r="CI22" s="2"/>
      <c r="CJ22" s="2"/>
      <c r="CK22" s="2"/>
      <c r="CL22" s="2"/>
      <c r="CM22" s="2"/>
      <c r="CN22" s="105"/>
      <c r="CO22" s="105"/>
      <c r="CP22" s="2"/>
      <c r="CQ22" s="2"/>
      <c r="DS22" s="17"/>
    </row>
    <row r="23" spans="1:123" x14ac:dyDescent="0.45">
      <c r="A23" s="3" t="s">
        <v>4</v>
      </c>
      <c r="B23" s="77"/>
      <c r="C23" s="77"/>
      <c r="D23" s="77"/>
      <c r="E23" s="77"/>
      <c r="F23" s="77"/>
      <c r="G23" s="77"/>
      <c r="H23" s="77"/>
      <c r="I23" s="77"/>
      <c r="J23" s="77"/>
      <c r="K23" s="77">
        <f t="shared" si="0"/>
        <v>0</v>
      </c>
      <c r="P23" s="73">
        <v>8</v>
      </c>
      <c r="Q23" s="90" t="s">
        <v>8</v>
      </c>
      <c r="W23">
        <v>1</v>
      </c>
      <c r="AA23">
        <v>1</v>
      </c>
      <c r="AF23" s="90" t="s">
        <v>47</v>
      </c>
      <c r="AO23">
        <v>8</v>
      </c>
      <c r="AP23">
        <v>8</v>
      </c>
      <c r="AR23" s="2"/>
      <c r="AS23" s="2"/>
      <c r="AT23" s="2"/>
      <c r="AU23" s="2"/>
      <c r="AV23" s="105"/>
      <c r="AW23" s="105"/>
      <c r="AX23" s="2"/>
      <c r="AY23" s="2"/>
      <c r="AZ23" s="2"/>
      <c r="BA23" s="2"/>
      <c r="BB23" s="2"/>
      <c r="BC23" s="2"/>
      <c r="BD23" s="2"/>
      <c r="BE23" s="105"/>
      <c r="BF23" s="105"/>
      <c r="BG23" s="2"/>
      <c r="BH23" s="2"/>
      <c r="BR23" s="2"/>
      <c r="BS23" s="2"/>
      <c r="BT23" s="105"/>
      <c r="BU23" s="105"/>
      <c r="BV23" s="2"/>
      <c r="BW23" s="2"/>
      <c r="BX23" s="2"/>
      <c r="BY23" s="2"/>
      <c r="BZ23" s="2"/>
      <c r="CA23" s="2"/>
      <c r="CB23" s="2"/>
      <c r="CC23" s="2"/>
      <c r="CD23" s="105"/>
      <c r="CE23" s="105"/>
      <c r="CF23" s="2"/>
      <c r="CG23" s="2"/>
      <c r="CH23" s="2"/>
      <c r="CI23" s="2"/>
      <c r="CJ23" s="2"/>
      <c r="CK23" s="2"/>
      <c r="CL23" s="2"/>
      <c r="CM23" s="2"/>
      <c r="CN23" s="105"/>
      <c r="CO23" s="105"/>
      <c r="CP23" s="2"/>
      <c r="CQ23" s="2"/>
      <c r="DS23" s="17"/>
    </row>
    <row r="24" spans="1:123" x14ac:dyDescent="0.45">
      <c r="A24" s="83" t="s">
        <v>48</v>
      </c>
      <c r="B24" s="77"/>
      <c r="C24" s="77"/>
      <c r="D24" s="77"/>
      <c r="E24" s="77"/>
      <c r="F24" s="77"/>
      <c r="G24" s="77"/>
      <c r="H24" s="77"/>
      <c r="I24" s="77"/>
      <c r="J24" s="77"/>
      <c r="K24" s="77">
        <f t="shared" si="0"/>
        <v>0</v>
      </c>
      <c r="P24" s="73">
        <v>9</v>
      </c>
      <c r="Q24" s="90" t="s">
        <v>11</v>
      </c>
      <c r="W24">
        <v>16</v>
      </c>
      <c r="X24">
        <v>50</v>
      </c>
      <c r="Y24">
        <v>12</v>
      </c>
      <c r="Z24">
        <v>2</v>
      </c>
      <c r="AA24">
        <v>80</v>
      </c>
      <c r="AF24" s="90" t="s">
        <v>1</v>
      </c>
      <c r="AJ24">
        <v>1</v>
      </c>
      <c r="AL24">
        <v>1</v>
      </c>
      <c r="AM24">
        <v>3</v>
      </c>
      <c r="AN24">
        <v>2</v>
      </c>
      <c r="AP24">
        <v>7</v>
      </c>
      <c r="AR24" s="2"/>
      <c r="AS24" s="2"/>
      <c r="AT24" s="2"/>
      <c r="AU24" s="2"/>
      <c r="AV24" s="105"/>
      <c r="AW24" s="105"/>
      <c r="AX24" s="2"/>
      <c r="AY24" s="2"/>
      <c r="AZ24" s="2"/>
      <c r="BA24" s="2"/>
      <c r="BB24" s="2"/>
      <c r="BC24" s="2"/>
      <c r="BD24" s="2"/>
      <c r="BE24" s="105"/>
      <c r="BF24" s="105"/>
      <c r="BG24" s="2"/>
      <c r="BH24" s="2"/>
      <c r="BR24" s="2"/>
      <c r="BS24" s="2"/>
      <c r="BT24" s="105"/>
      <c r="BU24" s="105"/>
      <c r="BV24" s="2"/>
      <c r="BW24" s="2"/>
      <c r="BX24" s="2"/>
      <c r="BY24" s="2"/>
      <c r="BZ24" s="2"/>
      <c r="CA24" s="2"/>
      <c r="CB24" s="2"/>
      <c r="CC24" s="2"/>
      <c r="CD24" s="105"/>
      <c r="CE24" s="105"/>
      <c r="CF24" s="2"/>
      <c r="CG24" s="2"/>
      <c r="CH24" s="2"/>
      <c r="CI24" s="2"/>
      <c r="CJ24" s="2"/>
      <c r="CK24" s="2"/>
      <c r="CL24" s="2"/>
      <c r="CM24" s="2"/>
      <c r="CN24" s="105"/>
      <c r="CO24" s="105"/>
      <c r="CP24" s="2"/>
      <c r="CQ24" s="2"/>
      <c r="DS24" s="17"/>
    </row>
    <row r="25" spans="1:123" x14ac:dyDescent="0.45">
      <c r="A25" s="3" t="s">
        <v>6</v>
      </c>
      <c r="B25" s="77"/>
      <c r="C25" s="77"/>
      <c r="D25" s="77"/>
      <c r="E25" s="77"/>
      <c r="F25" s="77"/>
      <c r="G25" s="77"/>
      <c r="H25" s="77"/>
      <c r="I25" s="77"/>
      <c r="J25" s="77">
        <v>2</v>
      </c>
      <c r="K25" s="77">
        <f t="shared" si="0"/>
        <v>2</v>
      </c>
      <c r="P25" s="73">
        <v>10</v>
      </c>
      <c r="Q25" s="90" t="s">
        <v>12</v>
      </c>
      <c r="Y25">
        <v>3</v>
      </c>
      <c r="AA25">
        <v>3</v>
      </c>
      <c r="AF25" s="90" t="s">
        <v>12</v>
      </c>
      <c r="AN25">
        <v>3</v>
      </c>
      <c r="AP25">
        <v>3</v>
      </c>
      <c r="AR25" s="2"/>
      <c r="AS25" s="2"/>
      <c r="AT25" s="2"/>
      <c r="AU25" s="2"/>
      <c r="AV25" s="105"/>
      <c r="AW25" s="105"/>
      <c r="AX25" s="2"/>
      <c r="AY25" s="2"/>
      <c r="AZ25" s="2"/>
      <c r="BA25" s="2"/>
      <c r="BB25" s="2"/>
      <c r="BC25" s="2"/>
      <c r="BD25" s="2"/>
      <c r="BE25" s="105"/>
      <c r="BF25" s="105"/>
      <c r="BG25" s="2"/>
      <c r="BH25" s="2"/>
      <c r="BR25" s="2"/>
      <c r="BS25" s="2"/>
      <c r="BT25" s="105"/>
      <c r="BU25" s="105"/>
      <c r="BV25" s="2"/>
      <c r="BW25" s="2"/>
      <c r="BX25" s="2"/>
      <c r="BY25" s="2"/>
      <c r="BZ25" s="2"/>
      <c r="CA25" s="2"/>
      <c r="CB25" s="2"/>
      <c r="CC25" s="2"/>
      <c r="CD25" s="105"/>
      <c r="CE25" s="105"/>
      <c r="CF25" s="2"/>
      <c r="CG25" s="2"/>
      <c r="CH25" s="2"/>
      <c r="CI25" s="2"/>
      <c r="CJ25" s="2"/>
      <c r="CK25" s="2"/>
      <c r="CL25" s="2"/>
      <c r="CM25" s="2"/>
      <c r="CN25" s="105"/>
      <c r="CO25" s="105"/>
      <c r="CP25" s="2"/>
      <c r="CQ25" s="2"/>
      <c r="DS25" s="17"/>
    </row>
    <row r="26" spans="1:123" x14ac:dyDescent="0.45">
      <c r="A26" s="3" t="s">
        <v>7</v>
      </c>
      <c r="B26" s="77"/>
      <c r="C26" s="77"/>
      <c r="D26" s="77"/>
      <c r="E26" s="77"/>
      <c r="F26" s="77">
        <v>7</v>
      </c>
      <c r="G26" s="77"/>
      <c r="H26" s="77">
        <v>7</v>
      </c>
      <c r="I26" s="77">
        <v>8</v>
      </c>
      <c r="J26" s="77">
        <v>5</v>
      </c>
      <c r="K26" s="77">
        <f t="shared" si="0"/>
        <v>27</v>
      </c>
      <c r="P26" s="73">
        <v>11</v>
      </c>
      <c r="Q26" s="90" t="s">
        <v>32</v>
      </c>
      <c r="Z26">
        <v>1</v>
      </c>
      <c r="AA26">
        <v>1</v>
      </c>
      <c r="AF26" s="90" t="s">
        <v>18</v>
      </c>
      <c r="AN26">
        <v>3</v>
      </c>
      <c r="AP26">
        <v>3</v>
      </c>
      <c r="AR26" s="2"/>
      <c r="AS26" s="2"/>
      <c r="AT26" s="2"/>
      <c r="AU26" s="2"/>
      <c r="AV26" s="105"/>
      <c r="AW26" s="105"/>
      <c r="AX26" s="2"/>
      <c r="AY26" s="2"/>
      <c r="AZ26" s="2"/>
      <c r="BA26" s="2"/>
      <c r="BB26" s="2"/>
      <c r="BC26" s="2"/>
      <c r="BD26" s="2"/>
      <c r="BE26" s="105"/>
      <c r="BF26" s="105"/>
      <c r="BG26" s="2"/>
      <c r="BH26" s="2"/>
      <c r="BR26" s="2"/>
      <c r="BS26" s="2"/>
      <c r="BT26" s="105"/>
      <c r="BU26" s="105"/>
      <c r="BV26" s="2"/>
      <c r="BW26" s="2"/>
      <c r="BX26" s="2"/>
      <c r="BY26" s="2"/>
      <c r="BZ26" s="2"/>
      <c r="CA26" s="2"/>
      <c r="CB26" s="2"/>
      <c r="CC26" s="2"/>
      <c r="CD26" s="105"/>
      <c r="CE26" s="105"/>
      <c r="CF26" s="2"/>
      <c r="CG26" s="2"/>
      <c r="CH26" s="2"/>
      <c r="CI26" s="2"/>
      <c r="CJ26" s="2"/>
      <c r="CK26" s="2"/>
      <c r="CL26" s="2"/>
      <c r="CM26" s="2"/>
      <c r="CN26" s="105"/>
      <c r="CO26" s="105"/>
      <c r="CP26" s="2"/>
      <c r="CQ26" s="2"/>
      <c r="DS26" s="17"/>
    </row>
    <row r="27" spans="1:123" s="2" customFormat="1" x14ac:dyDescent="0.45">
      <c r="A27" s="101" t="s">
        <v>83</v>
      </c>
      <c r="B27" s="77"/>
      <c r="C27" s="77"/>
      <c r="D27" s="77"/>
      <c r="E27" s="77"/>
      <c r="F27" s="77"/>
      <c r="G27" s="77"/>
      <c r="H27" s="77"/>
      <c r="I27" s="77"/>
      <c r="J27" s="77"/>
      <c r="K27" s="77">
        <f t="shared" si="0"/>
        <v>0</v>
      </c>
      <c r="P27" s="73"/>
      <c r="Q27" s="90" t="s">
        <v>18</v>
      </c>
      <c r="R27"/>
      <c r="S27"/>
      <c r="T27"/>
      <c r="U27"/>
      <c r="V27"/>
      <c r="W27"/>
      <c r="X27"/>
      <c r="Y27">
        <v>3</v>
      </c>
      <c r="Z27"/>
      <c r="AA27">
        <v>3</v>
      </c>
      <c r="AB27"/>
      <c r="AC27"/>
      <c r="AD27"/>
      <c r="AE27"/>
      <c r="AF27" s="90" t="s">
        <v>13</v>
      </c>
      <c r="AG27"/>
      <c r="AH27"/>
      <c r="AI27"/>
      <c r="AJ27"/>
      <c r="AK27"/>
      <c r="AL27"/>
      <c r="AM27"/>
      <c r="AN27">
        <v>3</v>
      </c>
      <c r="AO27"/>
      <c r="AP27">
        <v>3</v>
      </c>
      <c r="AQ27"/>
      <c r="AV27" s="105"/>
      <c r="AW27" s="105"/>
      <c r="BE27" s="105"/>
      <c r="BF27" s="105"/>
      <c r="BT27" s="105"/>
      <c r="BU27" s="105"/>
      <c r="CD27" s="105"/>
      <c r="CE27" s="105"/>
      <c r="CN27" s="105"/>
      <c r="CO27" s="105"/>
      <c r="DS27" s="17"/>
    </row>
    <row r="28" spans="1:123" x14ac:dyDescent="0.45">
      <c r="A28" s="83" t="s">
        <v>50</v>
      </c>
      <c r="B28" s="77"/>
      <c r="C28" s="77"/>
      <c r="D28" s="77"/>
      <c r="E28" s="77"/>
      <c r="F28" s="77"/>
      <c r="G28" s="77"/>
      <c r="H28" s="77"/>
      <c r="I28" s="77"/>
      <c r="J28" s="77"/>
      <c r="K28" s="77">
        <f t="shared" si="0"/>
        <v>0</v>
      </c>
      <c r="P28" s="73">
        <v>12</v>
      </c>
      <c r="Q28" s="90" t="s">
        <v>13</v>
      </c>
      <c r="Y28">
        <v>3</v>
      </c>
      <c r="AA28">
        <v>3</v>
      </c>
      <c r="AF28" s="90" t="s">
        <v>6</v>
      </c>
      <c r="AO28">
        <v>2</v>
      </c>
      <c r="AP28">
        <v>2</v>
      </c>
      <c r="AR28" s="2"/>
      <c r="AS28" s="2"/>
      <c r="AT28" s="2"/>
      <c r="AU28" s="2"/>
      <c r="AV28" s="105"/>
      <c r="AW28" s="105"/>
      <c r="AX28" s="2"/>
      <c r="AY28" s="2"/>
      <c r="AZ28" s="2"/>
      <c r="BA28" s="2"/>
      <c r="BB28" s="2"/>
      <c r="BC28" s="2"/>
      <c r="BD28" s="2"/>
      <c r="BE28" s="105"/>
      <c r="BF28" s="105"/>
      <c r="BG28" s="2"/>
      <c r="BH28" s="2"/>
      <c r="BR28" s="2"/>
      <c r="BS28" s="2"/>
      <c r="BT28" s="105"/>
      <c r="BU28" s="105"/>
      <c r="BV28" s="2"/>
      <c r="BW28" s="2"/>
      <c r="BX28" s="2"/>
      <c r="BY28" s="2"/>
      <c r="BZ28" s="2"/>
      <c r="CA28" s="2"/>
      <c r="CB28" s="2"/>
      <c r="CC28" s="2"/>
      <c r="CD28" s="105"/>
      <c r="CE28" s="105"/>
      <c r="CF28" s="2"/>
      <c r="CG28" s="2"/>
      <c r="CH28" s="2"/>
      <c r="CI28" s="2"/>
      <c r="CJ28" s="2"/>
      <c r="CK28" s="2"/>
      <c r="CL28" s="2"/>
      <c r="CM28" s="2"/>
      <c r="CN28" s="105"/>
      <c r="CO28" s="105"/>
      <c r="CP28" s="2"/>
      <c r="CQ28" s="2"/>
      <c r="DS28" s="17"/>
    </row>
    <row r="29" spans="1:123" x14ac:dyDescent="0.45">
      <c r="A29" s="83" t="s">
        <v>51</v>
      </c>
      <c r="B29" s="77"/>
      <c r="C29" s="77"/>
      <c r="D29" s="77"/>
      <c r="E29" s="77"/>
      <c r="F29" s="77"/>
      <c r="G29" s="77"/>
      <c r="H29" s="77"/>
      <c r="I29" s="77"/>
      <c r="J29" s="77"/>
      <c r="K29" s="77">
        <f t="shared" si="0"/>
        <v>0</v>
      </c>
      <c r="P29" s="73">
        <v>13</v>
      </c>
      <c r="Q29" s="90" t="s">
        <v>14</v>
      </c>
      <c r="W29">
        <v>3</v>
      </c>
      <c r="X29">
        <v>28</v>
      </c>
      <c r="Y29">
        <v>6</v>
      </c>
      <c r="Z29">
        <v>4</v>
      </c>
      <c r="AA29">
        <v>41</v>
      </c>
      <c r="AF29" s="90" t="s">
        <v>54</v>
      </c>
      <c r="AM29">
        <v>2</v>
      </c>
      <c r="AP29">
        <v>2</v>
      </c>
      <c r="AR29" s="2"/>
      <c r="AS29" s="2"/>
      <c r="AT29" s="2"/>
      <c r="AU29" s="2"/>
      <c r="AV29" s="105"/>
      <c r="AW29" s="105"/>
      <c r="AX29" s="2"/>
      <c r="AY29" s="2"/>
      <c r="AZ29" s="2"/>
      <c r="BA29" s="2"/>
      <c r="BB29" s="2"/>
      <c r="BC29" s="2"/>
      <c r="BD29" s="2"/>
      <c r="BE29" s="105"/>
      <c r="BF29" s="105"/>
      <c r="BG29" s="2"/>
      <c r="BH29" s="2"/>
      <c r="BR29" s="2"/>
      <c r="BS29" s="2"/>
      <c r="BT29" s="105"/>
      <c r="BU29" s="105"/>
      <c r="BV29" s="2"/>
      <c r="BW29" s="2"/>
      <c r="BX29" s="2"/>
      <c r="BY29" s="2"/>
      <c r="BZ29" s="2"/>
      <c r="CA29" s="2"/>
      <c r="CB29" s="2"/>
      <c r="CC29" s="2"/>
      <c r="CD29" s="105"/>
      <c r="CE29" s="105"/>
      <c r="CF29" s="2"/>
      <c r="CG29" s="2"/>
      <c r="CH29" s="2"/>
      <c r="CI29" s="2"/>
      <c r="CJ29" s="2"/>
      <c r="CK29" s="2"/>
      <c r="CL29" s="2"/>
      <c r="CM29" s="2"/>
      <c r="CN29" s="105"/>
      <c r="CO29" s="105"/>
      <c r="CP29" s="2"/>
      <c r="CQ29" s="2"/>
      <c r="DS29" s="17"/>
    </row>
    <row r="30" spans="1:123" x14ac:dyDescent="0.45">
      <c r="A30" s="83" t="s">
        <v>42</v>
      </c>
      <c r="B30" s="77"/>
      <c r="C30" s="77"/>
      <c r="D30" s="77"/>
      <c r="E30" s="77"/>
      <c r="F30" s="77"/>
      <c r="G30" s="77"/>
      <c r="H30" s="77"/>
      <c r="I30" s="77">
        <v>1</v>
      </c>
      <c r="J30" s="77"/>
      <c r="K30" s="77">
        <f t="shared" si="0"/>
        <v>1</v>
      </c>
      <c r="P30" s="73">
        <v>14</v>
      </c>
      <c r="Q30" s="90" t="s">
        <v>15</v>
      </c>
      <c r="W30">
        <v>1</v>
      </c>
      <c r="X30">
        <v>7</v>
      </c>
      <c r="Y30">
        <v>3</v>
      </c>
      <c r="AA30">
        <v>11</v>
      </c>
      <c r="AF30" s="90" t="s">
        <v>42</v>
      </c>
      <c r="AN30">
        <v>1</v>
      </c>
      <c r="AP30">
        <v>1</v>
      </c>
      <c r="AR30" s="2"/>
      <c r="AS30" s="2"/>
      <c r="AT30" s="2"/>
      <c r="AU30" s="2"/>
      <c r="AV30" s="105"/>
      <c r="AW30" s="105"/>
      <c r="AX30" s="2"/>
      <c r="AY30" s="2"/>
      <c r="AZ30" s="2"/>
      <c r="BA30" s="2"/>
      <c r="BB30" s="2"/>
      <c r="BC30" s="2"/>
      <c r="BD30" s="2"/>
      <c r="BE30" s="105"/>
      <c r="BF30" s="105"/>
      <c r="BG30" s="2"/>
      <c r="BH30" s="2"/>
      <c r="BR30" s="2"/>
      <c r="BS30" s="2"/>
      <c r="BT30" s="105"/>
      <c r="BU30" s="105"/>
      <c r="BV30" s="2"/>
      <c r="BW30" s="2"/>
      <c r="BX30" s="2"/>
      <c r="BY30" s="2"/>
      <c r="BZ30" s="2"/>
      <c r="CA30" s="2"/>
      <c r="CB30" s="2"/>
      <c r="CC30" s="2"/>
      <c r="CD30" s="105"/>
      <c r="CE30" s="105"/>
      <c r="CF30" s="2"/>
      <c r="CG30" s="2"/>
      <c r="CH30" s="2"/>
      <c r="CI30" s="2"/>
      <c r="CJ30" s="2"/>
      <c r="CK30" s="2"/>
      <c r="CL30" s="2"/>
      <c r="CM30" s="2"/>
      <c r="CN30" s="105"/>
      <c r="CO30" s="105"/>
      <c r="CP30" s="2"/>
      <c r="CQ30" s="2"/>
      <c r="DS30" s="17"/>
    </row>
    <row r="31" spans="1:123" x14ac:dyDescent="0.45">
      <c r="A31" s="3" t="s">
        <v>8</v>
      </c>
      <c r="B31" s="77"/>
      <c r="C31" s="77"/>
      <c r="D31" s="77"/>
      <c r="E31" s="77"/>
      <c r="F31" s="77"/>
      <c r="G31" s="77">
        <v>1</v>
      </c>
      <c r="H31" s="77"/>
      <c r="I31" s="77"/>
      <c r="J31" s="77"/>
      <c r="K31" s="77">
        <f t="shared" si="0"/>
        <v>1</v>
      </c>
      <c r="P31" s="73">
        <v>15</v>
      </c>
      <c r="Q31" s="90" t="s">
        <v>54</v>
      </c>
      <c r="X31">
        <v>2</v>
      </c>
      <c r="AA31">
        <v>2</v>
      </c>
      <c r="AF31" s="90" t="s">
        <v>8</v>
      </c>
      <c r="AL31">
        <v>1</v>
      </c>
      <c r="AP31">
        <v>1</v>
      </c>
      <c r="AR31" s="2"/>
      <c r="AS31" s="2"/>
      <c r="AT31" s="2"/>
      <c r="AU31" s="2"/>
      <c r="AV31" s="105"/>
      <c r="AW31" s="105"/>
      <c r="AX31" s="2"/>
      <c r="AY31" s="2"/>
      <c r="AZ31" s="2"/>
      <c r="BA31" s="2"/>
      <c r="BB31" s="2"/>
      <c r="BC31" s="2"/>
      <c r="BD31" s="2"/>
      <c r="BE31" s="105"/>
      <c r="BF31" s="105"/>
      <c r="BG31" s="2"/>
      <c r="BH31" s="2"/>
      <c r="BR31" s="2"/>
      <c r="BS31" s="2"/>
      <c r="BT31" s="105"/>
      <c r="BU31" s="105"/>
      <c r="BV31" s="2"/>
      <c r="BW31" s="2"/>
      <c r="BX31" s="2"/>
      <c r="BY31" s="2"/>
      <c r="BZ31" s="2"/>
      <c r="CA31" s="2"/>
      <c r="CB31" s="2"/>
      <c r="CC31" s="2"/>
      <c r="CD31" s="105"/>
      <c r="CE31" s="105"/>
      <c r="CF31" s="2"/>
      <c r="CG31" s="2"/>
      <c r="CH31" s="2"/>
      <c r="CI31" s="2"/>
      <c r="CJ31" s="2"/>
      <c r="CK31" s="2"/>
      <c r="CL31" s="2"/>
      <c r="CM31" s="2"/>
      <c r="CN31" s="105"/>
      <c r="CO31" s="105"/>
      <c r="CP31" s="2"/>
      <c r="CQ31" s="2"/>
      <c r="DS31" s="17"/>
    </row>
    <row r="32" spans="1:123" x14ac:dyDescent="0.45">
      <c r="A32" s="3" t="s">
        <v>9</v>
      </c>
      <c r="B32" s="77"/>
      <c r="C32" s="77"/>
      <c r="D32" s="77"/>
      <c r="E32" s="77"/>
      <c r="F32" s="77"/>
      <c r="G32" s="77"/>
      <c r="H32" s="77"/>
      <c r="I32" s="77"/>
      <c r="J32" s="77"/>
      <c r="K32" s="77">
        <f t="shared" si="0"/>
        <v>0</v>
      </c>
      <c r="P32" s="73"/>
      <c r="Q32" s="90" t="s">
        <v>47</v>
      </c>
      <c r="Z32">
        <v>8</v>
      </c>
      <c r="AA32">
        <v>8</v>
      </c>
      <c r="AF32" s="90" t="s">
        <v>32</v>
      </c>
      <c r="AO32">
        <v>1</v>
      </c>
      <c r="AP32">
        <v>1</v>
      </c>
      <c r="AR32" s="2"/>
      <c r="AS32" s="2"/>
      <c r="AT32" s="2"/>
      <c r="AU32" s="2"/>
      <c r="AV32" s="105"/>
      <c r="AW32" s="105"/>
      <c r="AX32" s="2"/>
      <c r="AY32" s="2"/>
      <c r="AZ32" s="2"/>
      <c r="BA32" s="2"/>
      <c r="BB32" s="2"/>
      <c r="BC32" s="2"/>
      <c r="BD32" s="2"/>
      <c r="BE32" s="105"/>
      <c r="BF32" s="105"/>
      <c r="BG32" s="2"/>
      <c r="BH32" s="2"/>
      <c r="BR32" s="2"/>
      <c r="BS32" s="2"/>
      <c r="BT32" s="105"/>
      <c r="BU32" s="105"/>
      <c r="BV32" s="2"/>
      <c r="BW32" s="2"/>
      <c r="BX32" s="2"/>
      <c r="BY32" s="2"/>
      <c r="BZ32" s="2"/>
      <c r="CA32" s="2"/>
      <c r="CB32" s="2"/>
      <c r="CC32" s="2"/>
      <c r="CD32" s="105"/>
      <c r="CE32" s="105"/>
      <c r="CF32" s="2"/>
      <c r="CG32" s="2"/>
      <c r="CH32" s="2"/>
      <c r="CI32" s="2"/>
      <c r="CJ32" s="2"/>
      <c r="CK32" s="2"/>
      <c r="CL32" s="2"/>
      <c r="CM32" s="2"/>
      <c r="CN32" s="105"/>
      <c r="CO32" s="105"/>
      <c r="CP32" s="2"/>
      <c r="CQ32" s="2"/>
      <c r="DS32" s="17"/>
    </row>
    <row r="33" spans="1:123" x14ac:dyDescent="0.45">
      <c r="A33" s="83" t="s">
        <v>44</v>
      </c>
      <c r="B33" s="77"/>
      <c r="C33" s="77"/>
      <c r="D33" s="77"/>
      <c r="E33" s="77"/>
      <c r="F33" s="77"/>
      <c r="G33" s="77"/>
      <c r="H33" s="77"/>
      <c r="I33" s="77"/>
      <c r="J33" s="77"/>
      <c r="K33" s="77">
        <f t="shared" si="0"/>
        <v>0</v>
      </c>
      <c r="P33" s="73">
        <v>16</v>
      </c>
      <c r="Q33" s="34" t="s">
        <v>17</v>
      </c>
      <c r="Z33">
        <v>1</v>
      </c>
      <c r="AA33">
        <v>1</v>
      </c>
      <c r="AF33" s="90" t="s">
        <v>17</v>
      </c>
      <c r="AO33">
        <v>1</v>
      </c>
      <c r="AP33">
        <v>1</v>
      </c>
      <c r="AR33" s="2"/>
      <c r="AS33" s="2"/>
      <c r="AT33" s="2"/>
      <c r="AU33" s="2"/>
      <c r="AV33" s="105"/>
      <c r="AW33" s="105"/>
      <c r="AX33" s="2"/>
      <c r="AY33" s="2"/>
      <c r="AZ33" s="2"/>
      <c r="BA33" s="2"/>
      <c r="BB33" s="2"/>
      <c r="BC33" s="2"/>
      <c r="BD33" s="2"/>
      <c r="BE33" s="105"/>
      <c r="BF33" s="105"/>
      <c r="BG33" s="2"/>
      <c r="BH33" s="2"/>
      <c r="BR33" s="2"/>
      <c r="BS33" s="2"/>
      <c r="BT33" s="105"/>
      <c r="BU33" s="105"/>
      <c r="BV33" s="2"/>
      <c r="BW33" s="2"/>
      <c r="BX33" s="2"/>
      <c r="BY33" s="2"/>
      <c r="BZ33" s="2"/>
      <c r="CA33" s="2"/>
      <c r="CB33" s="2"/>
      <c r="CC33" s="2"/>
      <c r="CD33" s="105"/>
      <c r="CE33" s="105"/>
      <c r="CF33" s="2"/>
      <c r="CG33" s="2"/>
      <c r="CH33" s="2"/>
      <c r="CI33" s="2"/>
      <c r="CJ33" s="2"/>
      <c r="CK33" s="2"/>
      <c r="CL33" s="2"/>
      <c r="CM33" s="2"/>
      <c r="CN33" s="105"/>
      <c r="CO33" s="105"/>
      <c r="CP33" s="2"/>
      <c r="CQ33" s="2"/>
      <c r="DS33" s="17"/>
    </row>
    <row r="34" spans="1:123" x14ac:dyDescent="0.45">
      <c r="A34" s="3" t="s">
        <v>10</v>
      </c>
      <c r="B34" s="77"/>
      <c r="C34" s="77"/>
      <c r="D34" s="77"/>
      <c r="E34" s="77"/>
      <c r="F34" s="77"/>
      <c r="G34" s="77"/>
      <c r="H34" s="77"/>
      <c r="I34" s="77"/>
      <c r="J34" s="77"/>
      <c r="K34" s="77">
        <f t="shared" si="0"/>
        <v>0</v>
      </c>
      <c r="Q34" s="162" t="s">
        <v>24</v>
      </c>
      <c r="R34" s="165">
        <f>SUM(R16:R33)</f>
        <v>0</v>
      </c>
      <c r="S34" s="165">
        <f t="shared" ref="S34:AA34" si="1">SUM(S16:S33)</f>
        <v>18</v>
      </c>
      <c r="T34" s="165">
        <f t="shared" si="1"/>
        <v>15</v>
      </c>
      <c r="U34" s="165">
        <f t="shared" si="1"/>
        <v>9</v>
      </c>
      <c r="V34" s="165">
        <f t="shared" si="1"/>
        <v>13</v>
      </c>
      <c r="W34" s="165">
        <f t="shared" si="1"/>
        <v>35</v>
      </c>
      <c r="X34" s="165">
        <f t="shared" si="1"/>
        <v>106</v>
      </c>
      <c r="Y34" s="165">
        <f t="shared" si="1"/>
        <v>49</v>
      </c>
      <c r="Z34" s="165">
        <f t="shared" si="1"/>
        <v>28</v>
      </c>
      <c r="AA34" s="165">
        <f t="shared" si="1"/>
        <v>273</v>
      </c>
      <c r="AF34" s="170" t="s">
        <v>24</v>
      </c>
      <c r="AG34" s="223">
        <v>0</v>
      </c>
      <c r="AH34" s="165">
        <v>18</v>
      </c>
      <c r="AI34" s="165">
        <v>15</v>
      </c>
      <c r="AJ34" s="165">
        <v>9</v>
      </c>
      <c r="AK34" s="165">
        <v>13</v>
      </c>
      <c r="AL34" s="165">
        <v>35</v>
      </c>
      <c r="AM34" s="165">
        <v>106</v>
      </c>
      <c r="AN34" s="165">
        <v>49</v>
      </c>
      <c r="AO34" s="165">
        <v>28</v>
      </c>
      <c r="AP34" s="165">
        <v>273</v>
      </c>
      <c r="AR34" s="2"/>
      <c r="AS34" s="2"/>
      <c r="AT34" s="2"/>
      <c r="AU34" s="2"/>
      <c r="AV34" s="105"/>
      <c r="AW34" s="105"/>
      <c r="AX34" s="2"/>
      <c r="AY34" s="2"/>
      <c r="AZ34" s="2"/>
      <c r="BA34" s="2"/>
      <c r="BB34" s="2"/>
      <c r="BC34" s="2"/>
      <c r="BD34" s="2"/>
      <c r="BE34" s="105"/>
      <c r="BF34" s="105"/>
      <c r="BG34" s="2"/>
      <c r="BH34" s="2"/>
      <c r="BR34" s="2"/>
      <c r="BS34" s="2"/>
      <c r="BT34" s="105"/>
      <c r="BU34" s="105"/>
      <c r="BV34" s="2"/>
      <c r="BW34" s="2"/>
      <c r="BX34" s="2"/>
      <c r="BY34" s="2"/>
      <c r="BZ34" s="2"/>
      <c r="CA34" s="2"/>
      <c r="CB34" s="2"/>
      <c r="CC34" s="2"/>
      <c r="CD34" s="105"/>
      <c r="CE34" s="105"/>
      <c r="CF34" s="2"/>
      <c r="CG34" s="2"/>
      <c r="CH34" s="2"/>
      <c r="CI34" s="2"/>
      <c r="CJ34" s="2"/>
      <c r="CK34" s="2"/>
      <c r="CL34" s="2"/>
      <c r="CM34" s="2"/>
      <c r="CN34" s="105"/>
      <c r="CO34" s="105"/>
      <c r="CP34" s="2"/>
      <c r="CQ34" s="2"/>
      <c r="DS34" s="17"/>
    </row>
    <row r="35" spans="1:123" x14ac:dyDescent="0.45">
      <c r="A35" s="3" t="s">
        <v>11</v>
      </c>
      <c r="B35" s="77"/>
      <c r="C35" s="77"/>
      <c r="D35" s="77"/>
      <c r="E35" s="77"/>
      <c r="F35" s="77"/>
      <c r="G35" s="77">
        <v>16</v>
      </c>
      <c r="H35" s="77">
        <v>50</v>
      </c>
      <c r="I35" s="77">
        <v>12</v>
      </c>
      <c r="J35" s="77">
        <v>2</v>
      </c>
      <c r="K35" s="77">
        <f t="shared" si="0"/>
        <v>80</v>
      </c>
      <c r="AR35" s="2"/>
      <c r="AS35" s="2"/>
      <c r="AT35" s="2"/>
      <c r="AU35" s="2"/>
      <c r="AV35" s="105"/>
      <c r="AW35" s="105"/>
      <c r="AX35" s="2"/>
      <c r="AY35" s="2"/>
      <c r="AZ35" s="2"/>
      <c r="BA35" s="2"/>
      <c r="BB35" s="2"/>
      <c r="BC35" s="2"/>
      <c r="BD35" s="2"/>
      <c r="BE35" s="105"/>
      <c r="BF35" s="105"/>
      <c r="BG35" s="2"/>
      <c r="BH35" s="2"/>
      <c r="BR35" s="2"/>
      <c r="BS35" s="2"/>
      <c r="BT35" s="105"/>
      <c r="BU35" s="105"/>
      <c r="BV35" s="2"/>
      <c r="BW35" s="2"/>
      <c r="BX35" s="2"/>
      <c r="BY35" s="2"/>
      <c r="BZ35" s="2"/>
      <c r="CA35" s="2"/>
      <c r="CB35" s="2"/>
      <c r="CC35" s="2"/>
      <c r="CD35" s="105"/>
      <c r="CE35" s="105"/>
      <c r="CF35" s="2"/>
      <c r="CG35" s="2"/>
      <c r="CH35" s="2"/>
      <c r="CI35" s="2"/>
      <c r="CJ35" s="2"/>
      <c r="CK35" s="2"/>
      <c r="CL35" s="2"/>
      <c r="CM35" s="2"/>
      <c r="CN35" s="105"/>
      <c r="CO35" s="105"/>
      <c r="CP35" s="2"/>
      <c r="CQ35" s="2"/>
      <c r="DS35" s="17"/>
    </row>
    <row r="36" spans="1:123" x14ac:dyDescent="0.45">
      <c r="A36" s="3" t="s">
        <v>12</v>
      </c>
      <c r="B36" s="77"/>
      <c r="C36" s="77"/>
      <c r="D36" s="77"/>
      <c r="E36" s="77"/>
      <c r="F36" s="77"/>
      <c r="G36" s="77"/>
      <c r="H36" s="77"/>
      <c r="I36" s="77">
        <v>3</v>
      </c>
      <c r="J36" s="77"/>
      <c r="K36" s="77">
        <f t="shared" si="0"/>
        <v>3</v>
      </c>
      <c r="AR36" s="2"/>
      <c r="AS36" s="2"/>
      <c r="AT36" s="2"/>
      <c r="AU36" s="2"/>
      <c r="AV36" s="105"/>
      <c r="AW36" s="105"/>
      <c r="AX36" s="2"/>
      <c r="AY36" s="2"/>
      <c r="AZ36" s="2"/>
      <c r="BA36" s="2"/>
      <c r="BB36" s="2"/>
      <c r="BC36" s="2"/>
      <c r="BD36" s="2"/>
      <c r="BE36" s="105"/>
      <c r="BF36" s="105"/>
      <c r="BG36" s="2"/>
      <c r="BH36" s="2"/>
      <c r="BR36" s="2"/>
      <c r="BS36" s="2"/>
      <c r="BT36" s="105"/>
      <c r="BU36" s="105"/>
      <c r="BV36" s="2"/>
      <c r="BW36" s="2"/>
      <c r="BX36" s="2"/>
      <c r="BY36" s="2"/>
      <c r="BZ36" s="2"/>
      <c r="CA36" s="2"/>
      <c r="CB36" s="2"/>
      <c r="CC36" s="2"/>
      <c r="CD36" s="105"/>
      <c r="CE36" s="105"/>
      <c r="CF36" s="2"/>
      <c r="CG36" s="2"/>
      <c r="CH36" s="2"/>
      <c r="CI36" s="2"/>
      <c r="CJ36" s="2"/>
      <c r="CK36" s="2"/>
      <c r="CL36" s="2"/>
      <c r="CM36" s="2"/>
      <c r="CN36" s="105"/>
      <c r="CO36" s="105"/>
      <c r="CP36" s="2"/>
      <c r="CQ36" s="2"/>
      <c r="DS36" s="17"/>
    </row>
    <row r="37" spans="1:123" x14ac:dyDescent="0.45">
      <c r="A37" s="83" t="s">
        <v>32</v>
      </c>
      <c r="B37" s="77"/>
      <c r="C37" s="77"/>
      <c r="D37" s="77"/>
      <c r="E37" s="77"/>
      <c r="F37" s="77"/>
      <c r="G37" s="77"/>
      <c r="H37" s="77"/>
      <c r="I37" s="77"/>
      <c r="J37" s="77">
        <v>1</v>
      </c>
      <c r="K37" s="77">
        <f t="shared" si="0"/>
        <v>1</v>
      </c>
      <c r="AR37" s="2"/>
      <c r="AS37" s="2"/>
      <c r="AT37" s="2"/>
      <c r="AU37" s="2"/>
      <c r="AV37" s="105"/>
      <c r="AW37" s="105"/>
      <c r="AX37" s="2"/>
      <c r="AY37" s="2"/>
      <c r="AZ37" s="2"/>
      <c r="BA37" s="2"/>
      <c r="BB37" s="2"/>
      <c r="BC37" s="2"/>
      <c r="BD37" s="2"/>
      <c r="BE37" s="105"/>
      <c r="BF37" s="105"/>
      <c r="BG37" s="2"/>
      <c r="BH37" s="2"/>
      <c r="BR37" s="2"/>
      <c r="BS37" s="2"/>
      <c r="BT37" s="105"/>
      <c r="BU37" s="105"/>
      <c r="BV37" s="2"/>
      <c r="BW37" s="2"/>
      <c r="BX37" s="2"/>
      <c r="BY37" s="2"/>
      <c r="BZ37" s="2"/>
      <c r="CA37" s="2"/>
      <c r="CB37" s="2"/>
      <c r="CC37" s="2"/>
      <c r="CD37" s="105"/>
      <c r="CE37" s="105"/>
      <c r="CF37" s="2"/>
      <c r="CG37" s="2"/>
      <c r="CH37" s="2"/>
      <c r="CI37" s="2"/>
      <c r="CJ37" s="2"/>
      <c r="CK37" s="2"/>
      <c r="CL37" s="2"/>
      <c r="CM37" s="2"/>
      <c r="CN37" s="105"/>
      <c r="CO37" s="105"/>
      <c r="CP37" s="2"/>
      <c r="CQ37" s="2"/>
      <c r="DS37" s="17"/>
    </row>
    <row r="38" spans="1:123" x14ac:dyDescent="0.45">
      <c r="A38" s="3" t="s">
        <v>18</v>
      </c>
      <c r="B38" s="77"/>
      <c r="C38" s="77"/>
      <c r="D38" s="77"/>
      <c r="E38" s="77"/>
      <c r="F38" s="77"/>
      <c r="G38" s="77"/>
      <c r="H38" s="77"/>
      <c r="I38" s="77">
        <v>3</v>
      </c>
      <c r="J38" s="77"/>
      <c r="K38" s="77">
        <f t="shared" si="0"/>
        <v>3</v>
      </c>
      <c r="AR38" s="2"/>
      <c r="AS38" s="2"/>
      <c r="AT38" s="2"/>
      <c r="AU38" s="2"/>
      <c r="AV38" s="105"/>
      <c r="AW38" s="105"/>
      <c r="AX38" s="2"/>
      <c r="AY38" s="2"/>
      <c r="AZ38" s="2"/>
      <c r="BA38" s="2"/>
      <c r="BB38" s="2"/>
      <c r="BC38" s="2"/>
      <c r="BD38" s="2"/>
      <c r="BE38" s="105"/>
      <c r="BF38" s="105"/>
      <c r="BG38" s="2"/>
      <c r="BH38" s="2"/>
      <c r="BR38" s="2"/>
      <c r="BS38" s="2"/>
      <c r="BT38" s="105"/>
      <c r="BU38" s="105"/>
      <c r="BV38" s="2"/>
      <c r="BW38" s="2"/>
      <c r="BX38" s="2"/>
      <c r="BY38" s="2"/>
      <c r="BZ38" s="2"/>
      <c r="CA38" s="2"/>
      <c r="CB38" s="2"/>
      <c r="CC38" s="2"/>
      <c r="CD38" s="105"/>
      <c r="CE38" s="105"/>
      <c r="CF38" s="2"/>
      <c r="CG38" s="2"/>
      <c r="CH38" s="2"/>
      <c r="CI38" s="2"/>
      <c r="CJ38" s="2"/>
      <c r="CK38" s="2"/>
      <c r="CL38" s="2"/>
      <c r="CM38" s="2"/>
      <c r="CN38" s="105"/>
      <c r="CO38" s="105"/>
      <c r="CP38" s="2"/>
      <c r="CQ38" s="2"/>
      <c r="DS38" s="17"/>
    </row>
    <row r="39" spans="1:123" x14ac:dyDescent="0.45">
      <c r="A39" s="83" t="s">
        <v>46</v>
      </c>
      <c r="B39" s="77"/>
      <c r="C39" s="77"/>
      <c r="D39" s="77"/>
      <c r="E39" s="77"/>
      <c r="F39" s="77"/>
      <c r="G39" s="77"/>
      <c r="H39" s="77"/>
      <c r="I39" s="77"/>
      <c r="J39" s="77"/>
      <c r="K39" s="77">
        <f t="shared" si="0"/>
        <v>0</v>
      </c>
      <c r="AR39" s="2"/>
      <c r="AS39" s="2"/>
      <c r="AT39" s="2"/>
      <c r="AU39" s="2"/>
      <c r="AV39" s="105"/>
      <c r="AW39" s="105"/>
      <c r="AX39" s="2"/>
      <c r="AY39" s="2"/>
      <c r="AZ39" s="2"/>
      <c r="BA39" s="2"/>
      <c r="BB39" s="2"/>
      <c r="BC39" s="2"/>
      <c r="BD39" s="2"/>
      <c r="BE39" s="105"/>
      <c r="BF39" s="105"/>
      <c r="BG39" s="2"/>
      <c r="BH39" s="2"/>
      <c r="BR39" s="2"/>
      <c r="BS39" s="2"/>
      <c r="BT39" s="105"/>
      <c r="BU39" s="105"/>
      <c r="BV39" s="2"/>
      <c r="BW39" s="2"/>
      <c r="BX39" s="2"/>
      <c r="BY39" s="2"/>
      <c r="BZ39" s="2"/>
      <c r="CA39" s="2"/>
      <c r="CB39" s="2"/>
      <c r="CC39" s="2"/>
      <c r="CD39" s="105"/>
      <c r="CE39" s="105"/>
      <c r="CF39" s="2"/>
      <c r="CG39" s="2"/>
      <c r="CH39" s="2"/>
      <c r="CI39" s="2"/>
      <c r="CJ39" s="2"/>
      <c r="CK39" s="2"/>
      <c r="CL39" s="2"/>
      <c r="CM39" s="2"/>
      <c r="CN39" s="105"/>
      <c r="CO39" s="105"/>
      <c r="CP39" s="2"/>
      <c r="CQ39" s="2"/>
      <c r="DS39" s="17"/>
    </row>
    <row r="40" spans="1:123" x14ac:dyDescent="0.45">
      <c r="A40" s="3" t="s">
        <v>13</v>
      </c>
      <c r="B40" s="77"/>
      <c r="C40" s="77"/>
      <c r="D40" s="77"/>
      <c r="E40" s="77"/>
      <c r="F40" s="77"/>
      <c r="G40" s="77"/>
      <c r="H40" s="77"/>
      <c r="I40" s="77">
        <v>3</v>
      </c>
      <c r="J40" s="77"/>
      <c r="K40" s="77">
        <f t="shared" si="0"/>
        <v>3</v>
      </c>
      <c r="AT40" s="2"/>
      <c r="AU40" s="2"/>
      <c r="AV40" s="105"/>
      <c r="AW40" s="105"/>
      <c r="AX40" s="2"/>
      <c r="AY40" s="2"/>
      <c r="AZ40" s="2"/>
      <c r="BA40" s="2"/>
      <c r="BB40" s="2"/>
      <c r="BC40" s="2"/>
      <c r="BD40" s="2"/>
      <c r="BE40" s="105"/>
      <c r="BF40" s="105"/>
      <c r="BG40" s="2"/>
      <c r="BH40" s="2"/>
      <c r="BR40" s="2"/>
      <c r="BS40" s="2"/>
      <c r="BT40" s="105"/>
      <c r="BU40" s="105"/>
      <c r="BV40" s="2"/>
      <c r="BW40" s="2"/>
      <c r="BX40" s="2"/>
      <c r="BY40" s="2"/>
      <c r="BZ40" s="2"/>
      <c r="CA40" s="2"/>
      <c r="CB40" s="2"/>
      <c r="CC40" s="2"/>
      <c r="CD40" s="105"/>
      <c r="CE40" s="105"/>
      <c r="CF40" s="2"/>
      <c r="CG40" s="2"/>
      <c r="CH40" s="2"/>
      <c r="CI40" s="2"/>
      <c r="CJ40" s="2"/>
      <c r="CK40" s="2"/>
      <c r="CL40" s="2"/>
      <c r="CM40" s="2"/>
      <c r="CN40" s="105"/>
      <c r="CO40" s="105"/>
      <c r="CP40" s="2"/>
      <c r="CQ40" s="2"/>
      <c r="DS40" s="17"/>
    </row>
    <row r="41" spans="1:123" x14ac:dyDescent="0.45">
      <c r="A41" s="3" t="s">
        <v>14</v>
      </c>
      <c r="B41" s="77"/>
      <c r="C41" s="77"/>
      <c r="D41" s="77"/>
      <c r="E41" s="77"/>
      <c r="F41" s="77"/>
      <c r="G41" s="77">
        <v>3</v>
      </c>
      <c r="H41" s="77">
        <v>28</v>
      </c>
      <c r="I41" s="77">
        <v>6</v>
      </c>
      <c r="J41" s="77">
        <v>4</v>
      </c>
      <c r="K41" s="77">
        <f t="shared" si="0"/>
        <v>41</v>
      </c>
      <c r="AR41" s="2"/>
      <c r="AS41" s="2"/>
      <c r="AT41" s="2"/>
      <c r="AU41" s="2"/>
      <c r="AV41" s="105"/>
      <c r="AW41" s="105"/>
      <c r="AX41" s="2"/>
      <c r="AY41" s="2"/>
      <c r="AZ41" s="2"/>
      <c r="BA41" s="2"/>
      <c r="BB41" s="2"/>
      <c r="BC41" s="2"/>
      <c r="BD41" s="2"/>
      <c r="BE41" s="105"/>
      <c r="BF41" s="105"/>
      <c r="BG41" s="2"/>
      <c r="BH41" s="2"/>
      <c r="BR41" s="2"/>
      <c r="BS41" s="2"/>
      <c r="BT41" s="105"/>
      <c r="BU41" s="105"/>
      <c r="BV41" s="2"/>
      <c r="BW41" s="2"/>
      <c r="BX41" s="2"/>
      <c r="BY41" s="2"/>
      <c r="BZ41" s="2"/>
      <c r="CA41" s="2"/>
      <c r="CB41" s="2"/>
      <c r="CC41" s="2"/>
      <c r="CD41" s="105"/>
      <c r="CE41" s="105"/>
      <c r="CF41" s="2"/>
      <c r="CG41" s="2"/>
      <c r="CH41" s="2"/>
      <c r="CI41" s="2"/>
      <c r="CJ41" s="2"/>
      <c r="CK41" s="2"/>
      <c r="CL41" s="2"/>
      <c r="CM41" s="2"/>
      <c r="CN41" s="105"/>
      <c r="CO41" s="105"/>
      <c r="CP41" s="2"/>
      <c r="CQ41" s="2"/>
      <c r="DS41" s="17"/>
    </row>
    <row r="42" spans="1:123" x14ac:dyDescent="0.45">
      <c r="A42" s="83" t="s">
        <v>40</v>
      </c>
      <c r="B42" s="77"/>
      <c r="C42" s="77"/>
      <c r="D42" s="77"/>
      <c r="E42" s="77"/>
      <c r="F42" s="77"/>
      <c r="G42" s="77"/>
      <c r="H42" s="77"/>
      <c r="I42" s="77"/>
      <c r="J42" s="77"/>
      <c r="K42" s="77">
        <f t="shared" si="0"/>
        <v>0</v>
      </c>
      <c r="AR42" s="2"/>
      <c r="AS42" s="2"/>
      <c r="AT42" s="2"/>
      <c r="AU42" s="2"/>
      <c r="AV42" s="105"/>
      <c r="AW42" s="105"/>
      <c r="AX42" s="2"/>
      <c r="AY42" s="2"/>
      <c r="AZ42" s="2"/>
      <c r="BA42" s="2"/>
      <c r="BB42" s="2"/>
      <c r="BC42" s="2"/>
      <c r="BD42" s="2"/>
      <c r="BE42" s="105"/>
      <c r="BF42" s="105"/>
      <c r="BG42" s="2"/>
      <c r="BH42" s="2"/>
      <c r="BR42" s="2"/>
      <c r="BS42" s="2"/>
      <c r="BT42" s="105"/>
      <c r="BU42" s="105"/>
      <c r="BV42" s="2"/>
      <c r="BW42" s="2"/>
      <c r="BX42" s="2"/>
      <c r="BY42" s="2"/>
      <c r="BZ42" s="2"/>
      <c r="CA42" s="2"/>
      <c r="CB42" s="2"/>
      <c r="CC42" s="2"/>
      <c r="CD42" s="105"/>
      <c r="CE42" s="105"/>
      <c r="CF42" s="2"/>
      <c r="CG42" s="2"/>
      <c r="CH42" s="2"/>
      <c r="CI42" s="2"/>
      <c r="CJ42" s="2"/>
      <c r="CK42" s="2"/>
      <c r="CL42" s="2"/>
      <c r="CM42" s="2"/>
      <c r="CN42" s="105"/>
      <c r="CO42" s="105"/>
      <c r="CP42" s="2"/>
      <c r="CQ42" s="2"/>
      <c r="DS42" s="17"/>
    </row>
    <row r="43" spans="1:123" x14ac:dyDescent="0.45">
      <c r="A43" s="83" t="s">
        <v>52</v>
      </c>
      <c r="B43" s="77"/>
      <c r="C43" s="77"/>
      <c r="D43" s="77"/>
      <c r="E43" s="77"/>
      <c r="F43" s="77"/>
      <c r="G43" s="77"/>
      <c r="H43" s="77"/>
      <c r="I43" s="77"/>
      <c r="J43" s="77"/>
      <c r="K43" s="77">
        <f t="shared" si="0"/>
        <v>0</v>
      </c>
      <c r="AR43" s="2"/>
      <c r="AS43" s="2"/>
      <c r="AT43" s="2"/>
      <c r="AU43" s="2"/>
      <c r="AV43" s="105"/>
      <c r="AW43" s="105"/>
      <c r="AX43" s="2"/>
      <c r="AY43" s="2"/>
      <c r="AZ43" s="2"/>
      <c r="BA43" s="2"/>
      <c r="BB43" s="2"/>
      <c r="BC43" s="2"/>
      <c r="BD43" s="2"/>
      <c r="BE43" s="105"/>
      <c r="BF43" s="2"/>
      <c r="BG43" s="2"/>
      <c r="BH43" s="2"/>
      <c r="BR43" s="2"/>
      <c r="BS43" s="2"/>
      <c r="BT43" s="105"/>
      <c r="BU43" s="105"/>
      <c r="BV43" s="2"/>
      <c r="BW43" s="2"/>
      <c r="BX43" s="2"/>
      <c r="BY43" s="2"/>
      <c r="BZ43" s="2"/>
      <c r="CA43" s="2"/>
      <c r="CB43" s="2"/>
      <c r="CC43" s="2"/>
      <c r="CD43" s="105"/>
      <c r="CE43" s="105"/>
      <c r="CF43" s="2"/>
      <c r="CG43" s="2"/>
      <c r="CH43" s="2"/>
      <c r="CI43" s="2"/>
      <c r="CJ43" s="2"/>
      <c r="CK43" s="2"/>
      <c r="CL43" s="2"/>
      <c r="CM43" s="2"/>
      <c r="CN43" s="105"/>
      <c r="CO43" s="105"/>
      <c r="CP43" s="2"/>
      <c r="CQ43" s="2"/>
      <c r="DS43" s="17"/>
    </row>
    <row r="44" spans="1:123" x14ac:dyDescent="0.45">
      <c r="A44" s="83" t="s">
        <v>53</v>
      </c>
      <c r="B44" s="77"/>
      <c r="C44" s="77"/>
      <c r="D44" s="77"/>
      <c r="E44" s="77"/>
      <c r="F44" s="77"/>
      <c r="G44" s="77"/>
      <c r="H44" s="77"/>
      <c r="I44" s="77"/>
      <c r="J44" s="77"/>
      <c r="K44" s="77">
        <f t="shared" si="0"/>
        <v>0</v>
      </c>
      <c r="AR44" s="2"/>
      <c r="AS44" s="2"/>
      <c r="AT44" s="2"/>
      <c r="AU44" s="2"/>
      <c r="AV44" s="105"/>
      <c r="AW44" s="105"/>
      <c r="AX44" s="2"/>
      <c r="AY44" s="2"/>
      <c r="AZ44" s="2"/>
      <c r="BA44" s="2"/>
      <c r="BB44" s="2"/>
      <c r="BC44" s="2"/>
      <c r="BD44" s="2"/>
      <c r="BE44" s="105"/>
      <c r="BF44" s="105"/>
      <c r="BG44" s="2"/>
      <c r="BH44" s="2"/>
      <c r="BR44" s="2"/>
      <c r="BS44" s="2"/>
      <c r="BT44" s="105"/>
      <c r="BU44" s="105"/>
      <c r="BV44" s="2"/>
      <c r="BW44" s="2"/>
      <c r="BX44" s="2"/>
      <c r="BY44" s="2"/>
      <c r="BZ44" s="2"/>
      <c r="CA44" s="2"/>
      <c r="CB44" s="2"/>
      <c r="CC44" s="2"/>
      <c r="CD44" s="105"/>
      <c r="CE44" s="105"/>
      <c r="CF44" s="2"/>
      <c r="CG44" s="2"/>
      <c r="CH44" s="2"/>
      <c r="CI44" s="2"/>
      <c r="CJ44" s="2"/>
      <c r="CK44" s="2"/>
      <c r="CL44" s="2"/>
      <c r="CM44" s="2"/>
      <c r="CN44" s="105"/>
      <c r="CO44" s="105"/>
      <c r="CP44" s="2"/>
      <c r="CQ44" s="2"/>
      <c r="DS44" s="17"/>
    </row>
    <row r="45" spans="1:123" x14ac:dyDescent="0.45">
      <c r="A45" s="3" t="s">
        <v>15</v>
      </c>
      <c r="B45" s="77"/>
      <c r="C45" s="77"/>
      <c r="D45" s="77"/>
      <c r="E45" s="77"/>
      <c r="F45" s="77"/>
      <c r="G45" s="77">
        <v>1</v>
      </c>
      <c r="H45" s="77">
        <v>7</v>
      </c>
      <c r="I45" s="77">
        <v>3</v>
      </c>
      <c r="J45" s="77"/>
      <c r="K45" s="77">
        <f t="shared" si="0"/>
        <v>11</v>
      </c>
      <c r="AR45" s="2"/>
      <c r="AS45" s="2"/>
      <c r="AT45" s="2"/>
      <c r="AU45" s="2"/>
      <c r="AV45" s="105"/>
      <c r="AW45" s="105"/>
      <c r="AX45" s="2"/>
      <c r="AY45" s="2"/>
      <c r="AZ45" s="2"/>
      <c r="BA45" s="2"/>
      <c r="BB45" s="2"/>
      <c r="BC45" s="2"/>
      <c r="BD45" s="2"/>
      <c r="BE45" s="105"/>
      <c r="BF45" s="105"/>
      <c r="BG45" s="2"/>
      <c r="BH45" s="2"/>
      <c r="BR45" s="2"/>
      <c r="BS45" s="2"/>
      <c r="BT45" s="105"/>
      <c r="BU45" s="105"/>
      <c r="BV45" s="2"/>
      <c r="BW45" s="2"/>
      <c r="BX45" s="2"/>
      <c r="BY45" s="2"/>
      <c r="BZ45" s="2"/>
      <c r="CA45" s="2"/>
      <c r="CB45" s="2"/>
      <c r="CC45" s="2"/>
      <c r="CD45" s="105"/>
      <c r="CE45" s="105"/>
      <c r="CF45" s="2"/>
      <c r="CG45" s="2"/>
      <c r="CH45" s="2"/>
      <c r="CI45" s="2"/>
      <c r="CJ45" s="2"/>
      <c r="CK45" s="2"/>
      <c r="CL45" s="2"/>
      <c r="CM45" s="2"/>
      <c r="CN45" s="105"/>
      <c r="CO45" s="105"/>
      <c r="CP45" s="2"/>
      <c r="CQ45" s="2"/>
      <c r="DS45" s="17"/>
    </row>
    <row r="46" spans="1:123" x14ac:dyDescent="0.45">
      <c r="A46" s="83" t="s">
        <v>54</v>
      </c>
      <c r="B46" s="77"/>
      <c r="C46" s="77"/>
      <c r="D46" s="77"/>
      <c r="E46" s="77"/>
      <c r="F46" s="77"/>
      <c r="G46" s="77"/>
      <c r="H46" s="77">
        <v>2</v>
      </c>
      <c r="I46" s="77"/>
      <c r="J46" s="77"/>
      <c r="K46" s="77">
        <f t="shared" si="0"/>
        <v>2</v>
      </c>
      <c r="AR46" s="2"/>
      <c r="AS46" s="2"/>
      <c r="AT46" s="2"/>
      <c r="AU46" s="2"/>
      <c r="AV46" s="105"/>
      <c r="AW46" s="105"/>
      <c r="AX46" s="2"/>
      <c r="AY46" s="2"/>
      <c r="AZ46" s="2"/>
      <c r="BA46" s="2"/>
      <c r="BB46" s="2"/>
      <c r="BC46" s="2"/>
      <c r="BD46" s="2"/>
      <c r="BE46" s="105"/>
      <c r="BF46" s="105"/>
      <c r="BG46" s="2"/>
      <c r="BH46" s="2"/>
      <c r="BR46" s="2"/>
      <c r="BS46" s="2"/>
      <c r="BT46" s="105"/>
      <c r="BU46" s="105"/>
      <c r="BV46" s="2"/>
      <c r="BW46" s="2"/>
      <c r="BX46" s="2"/>
      <c r="BY46" s="2"/>
      <c r="BZ46" s="2"/>
      <c r="CA46" s="2"/>
      <c r="CB46" s="2"/>
      <c r="CC46" s="2"/>
      <c r="CD46" s="105"/>
      <c r="CE46" s="105"/>
      <c r="CF46" s="2"/>
      <c r="CG46" s="2"/>
      <c r="CH46" s="2"/>
      <c r="CI46" s="2"/>
      <c r="CJ46" s="2"/>
      <c r="CK46" s="2"/>
      <c r="CL46" s="2"/>
      <c r="CM46" s="2"/>
      <c r="CN46" s="105"/>
      <c r="CO46" s="105"/>
      <c r="CP46" s="2"/>
      <c r="CQ46" s="2"/>
      <c r="DS46" s="17"/>
    </row>
    <row r="47" spans="1:123" x14ac:dyDescent="0.45">
      <c r="A47" s="83" t="s">
        <v>47</v>
      </c>
      <c r="B47" s="77"/>
      <c r="C47" s="77"/>
      <c r="D47" s="77"/>
      <c r="E47" s="77"/>
      <c r="F47" s="77"/>
      <c r="G47" s="77"/>
      <c r="H47" s="77"/>
      <c r="I47" s="77"/>
      <c r="J47" s="77">
        <v>8</v>
      </c>
      <c r="K47" s="77">
        <f t="shared" si="0"/>
        <v>8</v>
      </c>
      <c r="AR47" s="2"/>
      <c r="AS47" s="2"/>
      <c r="AT47" s="2"/>
      <c r="AU47" s="2"/>
      <c r="AV47" s="105"/>
      <c r="AW47" s="105"/>
      <c r="AX47" s="2"/>
      <c r="AY47" s="2"/>
      <c r="AZ47" s="2"/>
      <c r="BA47" s="2"/>
      <c r="BB47" s="2"/>
      <c r="BC47" s="2"/>
      <c r="BD47" s="2"/>
      <c r="BE47" s="105"/>
      <c r="BF47" s="105"/>
      <c r="BG47" s="2"/>
      <c r="BH47" s="2"/>
      <c r="BR47" s="2"/>
      <c r="BS47" s="2"/>
      <c r="BT47" s="105"/>
      <c r="BU47" s="105"/>
      <c r="BV47" s="2"/>
      <c r="BW47" s="2"/>
      <c r="BX47" s="2"/>
      <c r="BY47" s="2"/>
      <c r="BZ47" s="2"/>
      <c r="CA47" s="2"/>
      <c r="CB47" s="2"/>
      <c r="CC47" s="2"/>
      <c r="CD47" s="105"/>
      <c r="CE47" s="105"/>
      <c r="CF47" s="2"/>
      <c r="CG47" s="2"/>
      <c r="CH47" s="2"/>
      <c r="CI47" s="2"/>
      <c r="CJ47" s="2"/>
      <c r="CK47" s="2"/>
      <c r="CL47" s="2"/>
      <c r="CM47" s="2"/>
      <c r="CN47" s="105"/>
      <c r="CO47" s="105"/>
      <c r="CP47" s="2"/>
      <c r="CQ47" s="2"/>
      <c r="DS47" s="17"/>
    </row>
    <row r="48" spans="1:123" x14ac:dyDescent="0.45">
      <c r="A48" s="3" t="s">
        <v>16</v>
      </c>
      <c r="B48" s="77"/>
      <c r="C48" s="77"/>
      <c r="D48" s="77"/>
      <c r="E48" s="77"/>
      <c r="F48" s="77"/>
      <c r="G48" s="77"/>
      <c r="H48" s="77"/>
      <c r="I48" s="77"/>
      <c r="J48" s="77"/>
      <c r="K48" s="77">
        <f t="shared" si="0"/>
        <v>0</v>
      </c>
      <c r="AR48" s="2"/>
      <c r="AS48" s="2"/>
      <c r="AT48" s="2"/>
      <c r="AU48" s="2"/>
      <c r="AV48" s="105"/>
      <c r="AW48" s="105"/>
      <c r="AX48" s="2"/>
      <c r="AY48" s="2"/>
      <c r="AZ48" s="2"/>
      <c r="BA48" s="2"/>
      <c r="BB48" s="2"/>
      <c r="BC48" s="2"/>
      <c r="BD48" s="2"/>
      <c r="BE48" s="105"/>
      <c r="BF48" s="105"/>
      <c r="BG48" s="2"/>
      <c r="BH48" s="2"/>
      <c r="BR48" s="2"/>
      <c r="BS48" s="2"/>
      <c r="BT48" s="105"/>
      <c r="BU48" s="105"/>
      <c r="BV48" s="2"/>
      <c r="BW48" s="2"/>
      <c r="BX48" s="2"/>
      <c r="BY48" s="2"/>
      <c r="BZ48" s="2"/>
      <c r="CA48" s="2"/>
      <c r="CB48" s="2"/>
      <c r="CC48" s="2"/>
      <c r="CD48" s="105"/>
      <c r="CE48" s="105"/>
      <c r="CF48" s="2"/>
      <c r="CG48" s="2"/>
      <c r="CH48" s="2"/>
      <c r="CI48" s="2"/>
      <c r="CJ48" s="2"/>
      <c r="CK48" s="2"/>
      <c r="CL48" s="2"/>
      <c r="CM48" s="2"/>
      <c r="CN48" s="105"/>
      <c r="CO48" s="105"/>
      <c r="CP48" s="2"/>
      <c r="CQ48" s="2"/>
      <c r="DS48" s="17"/>
    </row>
    <row r="49" spans="1:123" x14ac:dyDescent="0.45">
      <c r="A49" s="83" t="s">
        <v>55</v>
      </c>
      <c r="B49" s="77"/>
      <c r="C49" s="77"/>
      <c r="D49" s="77"/>
      <c r="E49" s="77"/>
      <c r="F49" s="77"/>
      <c r="G49" s="77"/>
      <c r="H49" s="77"/>
      <c r="I49" s="77"/>
      <c r="J49" s="77"/>
      <c r="K49" s="77">
        <f t="shared" si="0"/>
        <v>0</v>
      </c>
      <c r="AR49" s="2"/>
      <c r="AS49" s="2"/>
      <c r="AT49" s="2"/>
      <c r="AU49" s="2"/>
      <c r="AV49" s="105"/>
      <c r="AW49" s="105"/>
      <c r="AX49" s="2"/>
      <c r="AY49" s="2"/>
      <c r="AZ49" s="2"/>
      <c r="BA49" s="2"/>
      <c r="BB49" s="2"/>
      <c r="BC49" s="2"/>
      <c r="BD49" s="2"/>
      <c r="BE49" s="105"/>
      <c r="BF49" s="105"/>
      <c r="BG49" s="2"/>
      <c r="BH49" s="2"/>
      <c r="BR49" s="2"/>
      <c r="BS49" s="2"/>
      <c r="BT49" s="105"/>
      <c r="BU49" s="105"/>
      <c r="BV49" s="2"/>
      <c r="BW49" s="2"/>
      <c r="BX49" s="2"/>
      <c r="BY49" s="2"/>
      <c r="BZ49" s="2"/>
      <c r="CA49" s="2"/>
      <c r="CB49" s="2"/>
      <c r="CC49" s="2"/>
      <c r="CD49" s="105"/>
      <c r="CE49" s="105"/>
      <c r="CF49" s="2"/>
      <c r="CG49" s="2"/>
      <c r="CH49" s="2"/>
      <c r="CI49" s="2"/>
      <c r="CJ49" s="2"/>
      <c r="CK49" s="2"/>
      <c r="CL49" s="2"/>
      <c r="CM49" s="2"/>
      <c r="CN49" s="105"/>
      <c r="CO49" s="105"/>
      <c r="CP49" s="2"/>
      <c r="CQ49" s="2"/>
      <c r="DS49" s="17"/>
    </row>
    <row r="50" spans="1:123" x14ac:dyDescent="0.45">
      <c r="A50" s="78" t="s">
        <v>17</v>
      </c>
      <c r="B50" s="77"/>
      <c r="C50" s="77"/>
      <c r="D50" s="77"/>
      <c r="E50" s="77"/>
      <c r="F50" s="77"/>
      <c r="G50" s="77"/>
      <c r="H50" s="77"/>
      <c r="I50" s="77"/>
      <c r="J50" s="77">
        <v>1</v>
      </c>
      <c r="K50" s="77">
        <f t="shared" si="0"/>
        <v>1</v>
      </c>
      <c r="AR50" s="2"/>
      <c r="AS50" s="2"/>
      <c r="AT50" s="2"/>
      <c r="AU50" s="2"/>
      <c r="AV50" s="105"/>
      <c r="AW50" s="105"/>
      <c r="AX50" s="2"/>
      <c r="AY50" s="2"/>
      <c r="AZ50" s="2"/>
      <c r="BA50" s="2"/>
      <c r="BB50" s="2"/>
      <c r="BC50" s="2"/>
      <c r="BD50" s="2"/>
      <c r="BE50" s="105"/>
      <c r="BF50" s="105"/>
      <c r="BG50" s="2"/>
      <c r="BH50" s="2"/>
      <c r="BR50" s="2"/>
      <c r="BS50" s="2"/>
      <c r="BT50" s="105"/>
      <c r="BU50" s="105"/>
      <c r="BV50" s="2"/>
      <c r="BW50" s="2"/>
      <c r="BX50" s="2"/>
      <c r="BY50" s="2"/>
      <c r="BZ50" s="2"/>
      <c r="CA50" s="2"/>
      <c r="CB50" s="2"/>
      <c r="CC50" s="2"/>
      <c r="CD50" s="105"/>
      <c r="CE50" s="105"/>
      <c r="CF50" s="2"/>
      <c r="CG50" s="2"/>
      <c r="CH50" s="2"/>
      <c r="CI50" s="2"/>
      <c r="CJ50" s="2"/>
      <c r="CK50" s="2"/>
      <c r="CL50" s="2"/>
      <c r="CM50" s="2"/>
      <c r="CN50" s="105"/>
      <c r="CO50" s="105"/>
      <c r="CP50" s="2"/>
      <c r="CQ50" s="2"/>
      <c r="DS50" s="17"/>
    </row>
    <row r="51" spans="1:123" x14ac:dyDescent="0.45">
      <c r="A51" s="11" t="s">
        <v>24</v>
      </c>
      <c r="B51" s="154">
        <f>SUM(B16:B50)</f>
        <v>0</v>
      </c>
      <c r="C51" s="151">
        <f t="shared" ref="C51:K51" si="2">SUM(C16:C50)</f>
        <v>18</v>
      </c>
      <c r="D51" s="151">
        <f t="shared" si="2"/>
        <v>15</v>
      </c>
      <c r="E51" s="151">
        <f t="shared" si="2"/>
        <v>9</v>
      </c>
      <c r="F51" s="151">
        <f t="shared" si="2"/>
        <v>13</v>
      </c>
      <c r="G51" s="151">
        <f t="shared" si="2"/>
        <v>35</v>
      </c>
      <c r="H51" s="151">
        <f t="shared" si="2"/>
        <v>106</v>
      </c>
      <c r="I51" s="151">
        <f t="shared" si="2"/>
        <v>49</v>
      </c>
      <c r="J51" s="151">
        <f t="shared" si="2"/>
        <v>28</v>
      </c>
      <c r="K51" s="151">
        <f t="shared" si="2"/>
        <v>273</v>
      </c>
      <c r="L51" s="17">
        <f>SUM(B51:J51)</f>
        <v>273</v>
      </c>
      <c r="AR51" s="2"/>
      <c r="AS51" s="2"/>
      <c r="AT51" s="2"/>
      <c r="AU51" s="2"/>
      <c r="AV51" s="105"/>
      <c r="AW51" s="105"/>
      <c r="AX51" s="2"/>
      <c r="AY51" s="2"/>
      <c r="AZ51" s="2"/>
      <c r="BA51" s="2"/>
      <c r="BB51" s="2"/>
      <c r="BC51" s="2"/>
      <c r="BD51" s="2"/>
      <c r="BE51" s="105"/>
      <c r="BF51" s="105"/>
      <c r="BG51" s="2"/>
      <c r="BH51" s="2"/>
      <c r="BR51" s="2"/>
      <c r="BS51" s="2"/>
      <c r="BT51" s="105"/>
      <c r="BU51" s="105"/>
      <c r="BV51" s="2"/>
      <c r="BW51" s="2"/>
      <c r="BX51" s="2"/>
      <c r="BY51" s="2"/>
      <c r="BZ51" s="2"/>
      <c r="CA51" s="2"/>
      <c r="CB51" s="2"/>
      <c r="CC51" s="2"/>
      <c r="CD51" s="105"/>
      <c r="CE51" s="105"/>
      <c r="CF51" s="2"/>
      <c r="CG51" s="2"/>
      <c r="CH51" s="2"/>
      <c r="CI51" s="2"/>
      <c r="CJ51" s="2"/>
      <c r="CK51" s="2"/>
      <c r="CL51" s="2"/>
      <c r="CM51" s="2"/>
      <c r="CN51" s="105"/>
      <c r="CO51" s="105"/>
      <c r="CP51" s="2"/>
      <c r="CQ51" s="2"/>
      <c r="DS51" s="17"/>
    </row>
    <row r="52" spans="1:123" x14ac:dyDescent="0.45">
      <c r="N52" t="s">
        <v>166</v>
      </c>
      <c r="R52" s="86"/>
      <c r="S52" s="86"/>
      <c r="T52" s="86"/>
      <c r="U52" s="86"/>
      <c r="V52" s="86"/>
      <c r="W52" s="86"/>
      <c r="X52" s="86"/>
      <c r="Y52" s="86"/>
      <c r="Z52" s="86"/>
      <c r="AA52" s="86"/>
      <c r="AR52" s="2"/>
      <c r="AS52" s="2"/>
      <c r="AT52" s="2"/>
      <c r="AU52" s="2"/>
      <c r="AV52" s="105"/>
      <c r="AW52" s="105"/>
      <c r="AX52" s="2"/>
      <c r="AY52" s="2"/>
      <c r="AZ52" s="2"/>
      <c r="BA52" s="2"/>
      <c r="BB52" s="2"/>
      <c r="BC52" s="2"/>
      <c r="BD52" s="2"/>
      <c r="BE52" s="105"/>
      <c r="BF52" s="105"/>
      <c r="BG52" s="2"/>
      <c r="BH52" s="2"/>
      <c r="BR52" s="2"/>
      <c r="BS52" s="2"/>
      <c r="BT52" s="105"/>
      <c r="BU52" s="105"/>
      <c r="BV52" s="2"/>
      <c r="BW52" s="2"/>
      <c r="BX52" s="2"/>
      <c r="BY52" s="2"/>
      <c r="BZ52" s="2"/>
      <c r="CA52" s="2"/>
      <c r="CB52" s="2"/>
      <c r="CC52" s="2"/>
      <c r="CD52" s="105"/>
      <c r="CE52" s="105"/>
      <c r="CF52" s="2"/>
      <c r="CG52" s="2"/>
      <c r="CH52" s="2"/>
      <c r="CI52" s="2"/>
      <c r="CJ52" s="2"/>
      <c r="CK52" s="2"/>
      <c r="CL52" s="2"/>
      <c r="CM52" s="2"/>
      <c r="CN52" s="105"/>
      <c r="CO52" s="105"/>
      <c r="CP52" s="2"/>
      <c r="CQ52" s="2"/>
      <c r="DS52" s="17"/>
    </row>
    <row r="53" spans="1:123" x14ac:dyDescent="0.45">
      <c r="AR53" s="86"/>
      <c r="AS53" s="86"/>
      <c r="AT53" s="86"/>
      <c r="AU53" s="86"/>
      <c r="AV53" s="104"/>
      <c r="AW53" s="104"/>
      <c r="AX53" s="86"/>
      <c r="AY53" s="86"/>
      <c r="AZ53" s="86"/>
      <c r="BA53" s="86"/>
      <c r="BB53" s="86"/>
      <c r="BC53" s="86"/>
      <c r="BD53" s="86"/>
      <c r="BE53" s="104"/>
      <c r="BF53" s="105"/>
      <c r="BG53" s="2"/>
      <c r="BH53" s="2"/>
      <c r="BR53" s="2"/>
      <c r="BS53" s="2"/>
      <c r="BT53" s="105"/>
      <c r="BU53" s="105"/>
      <c r="BV53" s="2"/>
      <c r="BW53" s="2"/>
      <c r="BX53" s="2"/>
      <c r="BY53" s="2"/>
      <c r="BZ53" s="2"/>
      <c r="CA53" s="2"/>
      <c r="CB53" s="2"/>
      <c r="CC53" s="2"/>
      <c r="CD53" s="105"/>
      <c r="CE53" s="105"/>
      <c r="CF53" s="2"/>
      <c r="CG53" s="2"/>
      <c r="CH53" s="2"/>
      <c r="CI53" s="2"/>
      <c r="CJ53" s="2"/>
      <c r="CK53" s="2"/>
      <c r="CL53" s="2"/>
      <c r="CM53" s="2"/>
      <c r="CN53" s="105"/>
      <c r="CO53" s="105"/>
      <c r="CP53" s="2"/>
      <c r="CQ53" s="2"/>
      <c r="DS53" s="17"/>
    </row>
    <row r="54" spans="1:123" x14ac:dyDescent="0.45">
      <c r="AR54" s="2"/>
      <c r="AS54" s="2"/>
      <c r="AT54" s="2"/>
      <c r="AU54" s="2"/>
      <c r="AV54" s="2"/>
      <c r="AW54" s="2"/>
      <c r="AX54" s="2"/>
      <c r="AY54" s="2"/>
      <c r="AZ54" s="2"/>
      <c r="BA54" s="2"/>
      <c r="BB54" s="2"/>
      <c r="BC54" s="2"/>
      <c r="BD54" s="2"/>
      <c r="BE54" s="2"/>
      <c r="BF54" s="104"/>
      <c r="BG54" s="86"/>
      <c r="BH54" s="86"/>
      <c r="BR54" s="86"/>
      <c r="BS54" s="86"/>
      <c r="BT54" s="104"/>
      <c r="BU54" s="104"/>
      <c r="BV54" s="86"/>
      <c r="BW54" s="86"/>
      <c r="BX54" s="86"/>
      <c r="BY54" s="86"/>
      <c r="BZ54" s="86"/>
      <c r="CA54" s="86"/>
      <c r="CB54" s="86"/>
      <c r="CC54" s="86"/>
      <c r="CD54" s="104"/>
      <c r="CE54" s="104"/>
      <c r="CF54" s="86"/>
      <c r="CG54" s="86"/>
      <c r="CH54" s="86"/>
      <c r="CI54" s="86"/>
      <c r="CJ54" s="86"/>
      <c r="CK54" s="86"/>
      <c r="CL54" s="86"/>
      <c r="CM54" s="86"/>
      <c r="CN54" s="104"/>
      <c r="CO54" s="104"/>
      <c r="CP54" s="86"/>
      <c r="CQ54" s="86"/>
      <c r="DS54" s="17"/>
    </row>
    <row r="55" spans="1:123" x14ac:dyDescent="0.45">
      <c r="A55" s="1" t="s">
        <v>222</v>
      </c>
      <c r="BF55" s="2"/>
      <c r="BG55" s="2"/>
      <c r="BH55" s="2"/>
      <c r="BR55" s="2"/>
      <c r="BS55" s="2"/>
      <c r="BT55" s="105"/>
      <c r="BU55" s="105"/>
      <c r="BV55" s="2"/>
      <c r="BW55" s="2"/>
      <c r="BX55" s="2"/>
      <c r="BY55" s="2"/>
      <c r="BZ55" s="2"/>
      <c r="CA55" s="2"/>
      <c r="CB55" s="2"/>
      <c r="CC55" s="2"/>
      <c r="CD55" s="2"/>
      <c r="CE55" s="2"/>
      <c r="CF55" s="2"/>
      <c r="CG55" s="2"/>
      <c r="CH55" s="2"/>
      <c r="CI55" s="2"/>
      <c r="CJ55" s="2"/>
      <c r="CK55" s="2"/>
      <c r="CL55" s="2"/>
      <c r="CM55" s="2"/>
      <c r="CN55" s="105"/>
      <c r="CO55" s="105"/>
      <c r="CP55" s="2"/>
      <c r="CQ55" s="2"/>
      <c r="CR55" s="2"/>
      <c r="CS55" s="2"/>
      <c r="CT55" s="2"/>
      <c r="CU55" s="2"/>
      <c r="CV55" s="2"/>
      <c r="CW55" s="2"/>
      <c r="CX55" s="105"/>
      <c r="CY55" s="105"/>
      <c r="CZ55" s="2"/>
      <c r="DA55" s="2"/>
      <c r="DB55" s="2"/>
      <c r="DC55" s="2"/>
      <c r="DD55" s="2"/>
      <c r="DE55" s="2"/>
      <c r="DF55" s="2"/>
      <c r="DG55" s="105"/>
      <c r="DH55" s="105"/>
      <c r="DI55" s="2"/>
      <c r="DJ55" s="2"/>
      <c r="DK55" s="2"/>
      <c r="DL55" s="2"/>
      <c r="DM55" s="2"/>
      <c r="DN55" s="2"/>
      <c r="DO55" s="2"/>
      <c r="DP55" s="2"/>
      <c r="DQ55" s="105"/>
      <c r="DR55" s="105"/>
      <c r="DS55" s="2"/>
    </row>
    <row r="56" spans="1:123" x14ac:dyDescent="0.45">
      <c r="A56" s="1" t="s">
        <v>148</v>
      </c>
      <c r="L56" s="2"/>
      <c r="AR56" s="2"/>
      <c r="AS56" s="2"/>
      <c r="AT56" s="2"/>
      <c r="AU56" s="2"/>
      <c r="AV56" s="2"/>
      <c r="AW56" s="2"/>
      <c r="AX56" s="2"/>
      <c r="AY56" s="2"/>
      <c r="AZ56" s="2"/>
      <c r="BA56" s="2"/>
      <c r="BB56" s="2"/>
      <c r="BC56" s="2"/>
      <c r="BD56" s="2"/>
      <c r="BE56" s="2"/>
      <c r="BF56" s="2"/>
      <c r="BG56" s="2"/>
      <c r="BH56" s="2"/>
      <c r="BR56" s="2"/>
      <c r="BS56" s="2"/>
      <c r="BT56" s="105"/>
      <c r="BU56" s="105"/>
      <c r="BV56" s="2"/>
      <c r="BW56" s="2"/>
      <c r="BX56" s="2"/>
      <c r="BY56" s="2"/>
      <c r="BZ56" s="2"/>
      <c r="CA56" s="2"/>
      <c r="CB56" s="2"/>
      <c r="CC56" s="2"/>
      <c r="CD56" s="2"/>
      <c r="CE56" s="2"/>
      <c r="CF56" s="2"/>
      <c r="CG56" s="2"/>
      <c r="CH56" s="2"/>
      <c r="CI56" s="2"/>
      <c r="CJ56" s="2"/>
      <c r="CK56" s="2"/>
      <c r="CL56" s="2"/>
      <c r="CM56" s="2"/>
      <c r="CN56" s="105"/>
      <c r="CO56" s="105"/>
      <c r="CP56" s="2"/>
      <c r="CQ56" s="2"/>
      <c r="CR56" s="2"/>
      <c r="CS56" s="2"/>
      <c r="CT56" s="2"/>
      <c r="CU56" s="2"/>
      <c r="CV56" s="2"/>
      <c r="CW56" s="2"/>
      <c r="CX56" s="2"/>
      <c r="CY56" s="2"/>
      <c r="CZ56" s="2"/>
      <c r="DA56" s="2"/>
      <c r="DB56" s="2"/>
      <c r="DC56" s="2"/>
      <c r="DD56" s="2"/>
      <c r="DE56" s="2"/>
      <c r="DF56" s="2"/>
      <c r="DG56" s="105"/>
      <c r="DH56" s="105"/>
      <c r="DI56" s="2"/>
      <c r="DJ56" s="2"/>
      <c r="DK56" s="2"/>
      <c r="DL56" s="2"/>
      <c r="DM56" s="2"/>
      <c r="DN56" s="2"/>
      <c r="DO56" s="2"/>
      <c r="DP56" s="2"/>
      <c r="DQ56" s="105"/>
      <c r="DR56" s="105"/>
      <c r="DS56" s="2"/>
    </row>
    <row r="57" spans="1:123" x14ac:dyDescent="0.45">
      <c r="A57" s="2" t="s">
        <v>31</v>
      </c>
      <c r="L57" s="2"/>
      <c r="AR57" s="2"/>
      <c r="AS57" s="2"/>
      <c r="AT57" s="2"/>
      <c r="AU57" s="2"/>
      <c r="AV57" s="2"/>
      <c r="AW57" s="2"/>
      <c r="AX57" s="2"/>
      <c r="AY57" s="2"/>
      <c r="AZ57" s="2"/>
      <c r="BA57" s="2"/>
      <c r="BB57" s="2"/>
      <c r="BC57" s="2"/>
      <c r="BD57" s="2"/>
      <c r="BE57" s="2"/>
      <c r="BF57" s="2"/>
      <c r="BG57" s="2"/>
      <c r="BH57" s="2"/>
      <c r="BR57" s="2"/>
      <c r="BS57" s="2"/>
      <c r="BT57" s="105"/>
      <c r="BU57" s="105"/>
      <c r="BV57" s="2"/>
      <c r="BW57" s="2"/>
      <c r="BX57" s="2"/>
      <c r="BY57" s="2"/>
      <c r="BZ57" s="2"/>
      <c r="CA57" s="2"/>
      <c r="CB57" s="2"/>
      <c r="CC57" s="2"/>
      <c r="CD57" s="2"/>
      <c r="CE57" s="2"/>
      <c r="CF57" s="2"/>
      <c r="CG57" s="2"/>
      <c r="CH57" s="2"/>
      <c r="CI57" s="2"/>
      <c r="CJ57" s="2"/>
      <c r="CK57" s="2"/>
      <c r="CL57" s="2"/>
      <c r="CM57" s="2"/>
      <c r="CN57" s="105"/>
      <c r="CO57" s="105"/>
      <c r="CP57" s="2"/>
      <c r="CQ57" s="2"/>
      <c r="CR57" s="2"/>
      <c r="CS57" s="2"/>
      <c r="CT57" s="2"/>
      <c r="CU57" s="2"/>
      <c r="CV57" s="2"/>
      <c r="CW57" s="2"/>
      <c r="CX57" s="2"/>
      <c r="CY57" s="2"/>
      <c r="CZ57" s="2"/>
      <c r="DA57" s="2"/>
      <c r="DB57" s="2"/>
      <c r="DC57" s="2"/>
      <c r="DD57" s="2"/>
      <c r="DE57" s="2"/>
      <c r="DF57" s="2"/>
      <c r="DG57" s="105"/>
      <c r="DH57" s="105"/>
      <c r="DI57" s="2"/>
      <c r="DJ57" s="2"/>
      <c r="DK57" s="2"/>
      <c r="DL57" s="2"/>
      <c r="DM57" s="2"/>
      <c r="DN57" s="2"/>
      <c r="DO57" s="2"/>
      <c r="DP57" s="2"/>
      <c r="DQ57" s="105"/>
      <c r="DR57" s="105"/>
      <c r="DS57" s="2"/>
    </row>
    <row r="58" spans="1:123" x14ac:dyDescent="0.45">
      <c r="L58" s="2"/>
      <c r="AR58" s="15"/>
      <c r="AS58" s="15"/>
      <c r="AT58" s="15"/>
      <c r="AW58" s="15"/>
      <c r="AX58" s="15"/>
      <c r="AY58" s="15"/>
      <c r="AZ58" s="15"/>
      <c r="BA58" s="15"/>
      <c r="BB58" s="15"/>
      <c r="BC58" s="15"/>
      <c r="BD58" s="2"/>
      <c r="BE58" s="2"/>
      <c r="BF58" s="2"/>
      <c r="BG58" s="2"/>
      <c r="BH58" s="2"/>
      <c r="BR58" s="2"/>
      <c r="BS58" s="2"/>
      <c r="BT58" s="105"/>
      <c r="BU58" s="105"/>
      <c r="BV58" s="2"/>
      <c r="BW58" s="2"/>
      <c r="BX58" s="2"/>
      <c r="BY58" s="2"/>
      <c r="BZ58" s="2"/>
      <c r="CA58" s="2"/>
      <c r="CB58" s="2"/>
      <c r="CC58" s="2"/>
      <c r="CD58" s="2"/>
      <c r="CE58" s="2"/>
      <c r="CF58" s="2"/>
      <c r="CG58" s="2"/>
      <c r="CH58" s="2"/>
      <c r="CI58" s="2"/>
      <c r="CJ58" s="2"/>
      <c r="CK58" s="2"/>
      <c r="CL58" s="2"/>
      <c r="CM58" s="2"/>
      <c r="CN58" s="105"/>
      <c r="CO58" s="105"/>
      <c r="CP58" s="2"/>
      <c r="CQ58" s="2"/>
      <c r="CR58" s="2"/>
      <c r="CS58" s="2"/>
      <c r="CT58" s="2"/>
      <c r="CU58" s="2"/>
      <c r="CV58" s="2"/>
      <c r="CW58" s="2"/>
      <c r="CX58" s="2"/>
      <c r="CY58" s="2"/>
      <c r="CZ58" s="2"/>
      <c r="DA58" s="2"/>
      <c r="DB58" s="2"/>
      <c r="DC58" s="2"/>
      <c r="DD58" s="2"/>
      <c r="DE58" s="2"/>
      <c r="DF58" s="2"/>
      <c r="DG58" s="105"/>
      <c r="DH58" s="105"/>
      <c r="DI58" s="2"/>
      <c r="DJ58" s="2"/>
      <c r="DK58" s="2"/>
      <c r="DL58" s="2"/>
      <c r="DM58" s="2"/>
      <c r="DN58" s="2"/>
      <c r="DO58" s="2"/>
      <c r="DP58" s="2"/>
      <c r="DQ58" s="105"/>
      <c r="DR58" s="105"/>
      <c r="DS58" s="2"/>
    </row>
    <row r="59" spans="1:123" x14ac:dyDescent="0.45">
      <c r="A59" s="112" t="s">
        <v>204</v>
      </c>
      <c r="L59" s="2"/>
      <c r="AR59" s="2"/>
      <c r="AS59" s="110"/>
      <c r="AT59" s="12"/>
      <c r="AW59" s="12"/>
      <c r="AX59" s="12"/>
      <c r="AY59" s="12"/>
      <c r="AZ59" s="12"/>
      <c r="BA59" s="2"/>
      <c r="BB59" s="2"/>
      <c r="BC59" s="2"/>
      <c r="BD59" s="2"/>
      <c r="BE59" s="2"/>
      <c r="BF59" s="2"/>
      <c r="BG59" s="2"/>
      <c r="BH59" s="2"/>
      <c r="BR59" s="2"/>
      <c r="BS59" s="2"/>
      <c r="BT59" s="105"/>
      <c r="BU59" s="105"/>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105"/>
      <c r="DH59" s="105"/>
      <c r="DI59" s="2"/>
      <c r="DJ59" s="2"/>
      <c r="DK59" s="2"/>
      <c r="DL59" s="2"/>
      <c r="DM59" s="2"/>
      <c r="DN59" s="2"/>
      <c r="DO59" s="2"/>
      <c r="DP59" s="2"/>
      <c r="DQ59" s="105"/>
      <c r="DR59" s="105"/>
      <c r="DS59" s="2"/>
    </row>
    <row r="60" spans="1:123" x14ac:dyDescent="0.45">
      <c r="A60" s="2" t="s">
        <v>203</v>
      </c>
      <c r="L60" s="2"/>
      <c r="AR60" s="2"/>
      <c r="AS60" s="2"/>
      <c r="AT60" s="12"/>
      <c r="AW60" s="12"/>
      <c r="AX60" s="12"/>
      <c r="AY60" s="109"/>
      <c r="AZ60" s="12"/>
      <c r="BA60" s="2"/>
      <c r="BB60" s="2"/>
      <c r="BC60" s="2"/>
      <c r="BD60" s="2"/>
      <c r="BE60" s="2"/>
      <c r="BF60" s="2"/>
      <c r="BG60" s="2"/>
      <c r="BH60" s="2"/>
      <c r="BR60" s="2"/>
      <c r="BS60" s="2"/>
      <c r="BT60" s="105"/>
      <c r="BU60" s="105"/>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105"/>
      <c r="DH60" s="105"/>
      <c r="DI60" s="2"/>
      <c r="DJ60" s="2"/>
      <c r="DK60" s="2"/>
      <c r="DL60" s="2"/>
      <c r="DM60" s="2"/>
      <c r="DN60" s="2"/>
      <c r="DO60" s="2"/>
      <c r="DP60" s="2"/>
      <c r="DQ60" s="105"/>
      <c r="DR60" s="105"/>
      <c r="DS60" s="2"/>
    </row>
    <row r="61" spans="1:123" ht="15" customHeight="1" x14ac:dyDescent="0.45">
      <c r="A61" s="2" t="s">
        <v>205</v>
      </c>
      <c r="L61" s="2"/>
      <c r="AR61" s="2"/>
      <c r="AS61" s="2"/>
      <c r="AT61" s="2"/>
      <c r="AU61" s="2"/>
      <c r="AV61" s="2"/>
      <c r="AW61" s="2"/>
      <c r="AX61" s="2"/>
      <c r="AY61" s="2"/>
      <c r="AZ61" s="2"/>
      <c r="BA61" s="2"/>
      <c r="BB61" s="2"/>
      <c r="BC61" s="2"/>
      <c r="BD61" s="2"/>
      <c r="BE61" s="2"/>
      <c r="BF61" s="2"/>
      <c r="BG61" s="2"/>
      <c r="BH61" s="2"/>
      <c r="BR61" s="2"/>
      <c r="BS61" s="2"/>
      <c r="BT61" s="105"/>
      <c r="BU61" s="105"/>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105"/>
      <c r="DH61" s="105"/>
      <c r="DI61" s="2"/>
      <c r="DJ61" s="2"/>
      <c r="DK61" s="2"/>
      <c r="DL61" s="2"/>
      <c r="DM61" s="2"/>
      <c r="DN61" s="2"/>
      <c r="DO61" s="2"/>
      <c r="DP61" s="2"/>
      <c r="DQ61" s="105"/>
      <c r="DR61" s="105"/>
      <c r="DS61" s="2"/>
    </row>
    <row r="62" spans="1:123" x14ac:dyDescent="0.45">
      <c r="A62" s="2" t="s">
        <v>206</v>
      </c>
      <c r="L62" s="2"/>
      <c r="AR62" s="15"/>
      <c r="AS62" s="15"/>
      <c r="AT62" s="15"/>
      <c r="AU62" s="15"/>
      <c r="AV62" s="15"/>
      <c r="AW62" s="15"/>
      <c r="AX62" s="15"/>
      <c r="AY62" s="15"/>
      <c r="AZ62" s="15"/>
      <c r="BA62" s="15"/>
      <c r="BB62" s="15"/>
      <c r="BC62" s="15"/>
      <c r="BD62" s="2"/>
      <c r="BE62" s="2"/>
      <c r="BF62" s="2"/>
      <c r="BG62" s="2"/>
      <c r="BH62" s="2"/>
      <c r="BR62" s="2"/>
      <c r="BS62" s="2"/>
      <c r="BT62" s="105"/>
      <c r="BU62" s="105"/>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105"/>
      <c r="DH62" s="105"/>
      <c r="DI62" s="2"/>
      <c r="DJ62" s="2"/>
      <c r="DK62" s="2"/>
      <c r="DL62" s="2"/>
      <c r="DM62" s="2"/>
      <c r="DN62" s="2"/>
      <c r="DO62" s="2"/>
      <c r="DP62" s="2"/>
      <c r="DQ62" s="105"/>
      <c r="DR62" s="105"/>
      <c r="DS62" s="2"/>
    </row>
    <row r="63" spans="1:123" ht="15" customHeight="1" thickBot="1" x14ac:dyDescent="0.5">
      <c r="L63" s="2"/>
      <c r="AR63" s="2"/>
      <c r="AS63" s="2"/>
      <c r="AT63" s="2"/>
      <c r="AU63" s="2"/>
      <c r="AV63" s="2"/>
      <c r="AW63" s="2"/>
      <c r="AX63" s="2"/>
      <c r="AY63" s="2"/>
      <c r="AZ63" s="2"/>
      <c r="BA63" s="2"/>
      <c r="BB63" s="2"/>
      <c r="BC63" s="2"/>
      <c r="BD63" s="2"/>
      <c r="BE63" s="2"/>
      <c r="BF63" s="2"/>
      <c r="BG63" s="2"/>
      <c r="BH63" s="2"/>
      <c r="BR63" s="2"/>
      <c r="BS63" s="2"/>
      <c r="BT63" s="105"/>
      <c r="BU63" s="105"/>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105"/>
      <c r="DH63" s="105"/>
      <c r="DI63" s="2"/>
      <c r="DJ63" s="2"/>
      <c r="DK63" s="2"/>
      <c r="DL63" s="2"/>
      <c r="DM63" s="2"/>
      <c r="DN63" s="2"/>
      <c r="DO63" s="2"/>
      <c r="DP63" s="2"/>
      <c r="DQ63" s="105"/>
      <c r="DR63" s="105"/>
      <c r="DS63" s="2"/>
    </row>
    <row r="64" spans="1:123" ht="25.9" thickBot="1" x14ac:dyDescent="0.8">
      <c r="A64" s="267" t="s">
        <v>227</v>
      </c>
      <c r="B64" s="268"/>
      <c r="C64" s="268"/>
      <c r="D64" s="268"/>
      <c r="E64" s="268"/>
      <c r="F64" s="268"/>
      <c r="G64" s="268"/>
      <c r="H64" s="268"/>
      <c r="I64" s="268"/>
      <c r="J64" s="268"/>
      <c r="K64" s="269"/>
    </row>
    <row r="65" spans="1:46" ht="14.65" thickBot="1" x14ac:dyDescent="0.5">
      <c r="A65" s="270" t="s">
        <v>228</v>
      </c>
      <c r="B65" s="271"/>
      <c r="C65" s="271"/>
      <c r="D65" s="271"/>
      <c r="E65" s="271"/>
      <c r="F65" s="271"/>
      <c r="G65" s="271"/>
      <c r="H65" s="271"/>
      <c r="I65" s="271"/>
      <c r="J65" s="271"/>
      <c r="K65" s="272"/>
      <c r="Q65" s="1" t="s">
        <v>222</v>
      </c>
      <c r="AF65" s="1" t="s">
        <v>222</v>
      </c>
      <c r="AG65" s="2"/>
      <c r="AH65" s="2"/>
      <c r="AI65" s="2"/>
      <c r="AJ65" s="2"/>
      <c r="AK65" s="2"/>
      <c r="AL65" s="2"/>
      <c r="AM65" s="2"/>
      <c r="AN65" s="2"/>
      <c r="AO65" s="2"/>
      <c r="AP65" s="2"/>
    </row>
    <row r="66" spans="1:46" x14ac:dyDescent="0.45">
      <c r="A66" s="273" t="s">
        <v>229</v>
      </c>
      <c r="B66" s="261">
        <v>43568</v>
      </c>
      <c r="C66" s="261">
        <v>43573</v>
      </c>
      <c r="D66" s="261">
        <v>43578</v>
      </c>
      <c r="E66" s="261">
        <v>43583</v>
      </c>
      <c r="F66" s="261">
        <v>43588</v>
      </c>
      <c r="G66" s="261">
        <v>43593</v>
      </c>
      <c r="H66" s="261">
        <v>43595</v>
      </c>
      <c r="I66" s="261">
        <v>43599</v>
      </c>
      <c r="J66" s="261">
        <v>43603</v>
      </c>
      <c r="K66" s="261">
        <v>43608</v>
      </c>
      <c r="Q66" s="1" t="s">
        <v>153</v>
      </c>
      <c r="AF66" s="1" t="s">
        <v>153</v>
      </c>
      <c r="AG66" s="2"/>
      <c r="AH66" s="2"/>
      <c r="AI66" s="2"/>
      <c r="AJ66" s="2"/>
      <c r="AK66" s="77"/>
      <c r="AL66" s="77"/>
      <c r="AM66" s="77"/>
      <c r="AN66" s="77"/>
      <c r="AO66" s="77"/>
      <c r="AP66" s="77"/>
    </row>
    <row r="67" spans="1:46" ht="15" customHeight="1" thickBot="1" x14ac:dyDescent="0.5">
      <c r="A67" s="274"/>
      <c r="B67" s="262"/>
      <c r="C67" s="262"/>
      <c r="D67" s="262"/>
      <c r="E67" s="262"/>
      <c r="F67" s="263"/>
      <c r="G67" s="263"/>
      <c r="H67" s="263"/>
      <c r="I67" s="262"/>
      <c r="J67" s="263"/>
      <c r="K67" s="262"/>
      <c r="Q67" s="2" t="s">
        <v>251</v>
      </c>
      <c r="R67" s="2"/>
      <c r="S67" s="2"/>
      <c r="T67" s="2"/>
      <c r="AF67" s="14" t="s">
        <v>249</v>
      </c>
      <c r="AG67" s="2"/>
      <c r="AH67" s="2"/>
      <c r="AI67" s="2"/>
      <c r="AJ67" s="2"/>
      <c r="AK67" s="2"/>
      <c r="AL67" s="2"/>
      <c r="AM67" s="2"/>
      <c r="AN67" s="2"/>
      <c r="AO67" s="2"/>
      <c r="AP67" s="2"/>
    </row>
    <row r="68" spans="1:46" ht="15" customHeight="1" thickBot="1" x14ac:dyDescent="0.5">
      <c r="A68" s="215" t="s">
        <v>230</v>
      </c>
      <c r="B68" s="216" t="s">
        <v>231</v>
      </c>
      <c r="C68" s="216" t="s">
        <v>232</v>
      </c>
      <c r="D68" s="216" t="s">
        <v>233</v>
      </c>
      <c r="E68" s="216" t="s">
        <v>234</v>
      </c>
      <c r="F68" s="216" t="s">
        <v>235</v>
      </c>
      <c r="G68" s="216" t="s">
        <v>236</v>
      </c>
      <c r="H68" s="216" t="s">
        <v>237</v>
      </c>
      <c r="I68" s="216" t="s">
        <v>238</v>
      </c>
      <c r="J68" s="216" t="s">
        <v>239</v>
      </c>
      <c r="K68" s="216" t="s">
        <v>240</v>
      </c>
      <c r="R68" s="1" t="s">
        <v>20</v>
      </c>
      <c r="S68" s="180"/>
      <c r="T68" s="180"/>
      <c r="U68" s="180"/>
      <c r="V68" s="1" t="s">
        <v>21</v>
      </c>
      <c r="W68" s="180"/>
      <c r="X68" s="180"/>
      <c r="Y68" s="180"/>
      <c r="Z68" s="180"/>
      <c r="AA68" s="180"/>
      <c r="AF68" s="180"/>
      <c r="AG68" s="1" t="s">
        <v>20</v>
      </c>
      <c r="AH68" s="180"/>
      <c r="AI68" s="180"/>
      <c r="AJ68" s="180"/>
      <c r="AK68" s="1" t="s">
        <v>21</v>
      </c>
      <c r="AL68" s="180"/>
      <c r="AM68" s="180"/>
      <c r="AN68" s="180"/>
      <c r="AO68" s="180"/>
      <c r="AP68" s="180"/>
      <c r="AQ68" s="180"/>
    </row>
    <row r="69" spans="1:46" ht="15.75" customHeight="1" thickBot="1" x14ac:dyDescent="0.5">
      <c r="A69" s="215" t="s">
        <v>241</v>
      </c>
      <c r="B69" s="216" t="s">
        <v>242</v>
      </c>
      <c r="C69" s="216" t="s">
        <v>243</v>
      </c>
      <c r="D69" s="216" t="s">
        <v>243</v>
      </c>
      <c r="E69" s="216" t="s">
        <v>243</v>
      </c>
      <c r="F69" s="216" t="s">
        <v>243</v>
      </c>
      <c r="G69" s="216" t="s">
        <v>243</v>
      </c>
      <c r="H69" s="216" t="s">
        <v>243</v>
      </c>
      <c r="I69" s="216" t="s">
        <v>243</v>
      </c>
      <c r="J69" s="216" t="s">
        <v>244</v>
      </c>
      <c r="K69" s="240" t="s">
        <v>243</v>
      </c>
      <c r="L69" s="241" t="s">
        <v>24</v>
      </c>
      <c r="P69" s="22" t="s">
        <v>141</v>
      </c>
      <c r="Q69" s="108" t="s">
        <v>39</v>
      </c>
      <c r="R69" s="88">
        <v>13</v>
      </c>
      <c r="S69" s="91">
        <v>18</v>
      </c>
      <c r="T69" s="91">
        <v>23</v>
      </c>
      <c r="U69" s="91">
        <v>28</v>
      </c>
      <c r="V69" s="91">
        <v>3</v>
      </c>
      <c r="W69" s="206">
        <v>8</v>
      </c>
      <c r="X69" s="91">
        <v>10</v>
      </c>
      <c r="Y69" s="91">
        <v>14</v>
      </c>
      <c r="Z69" s="91">
        <v>18</v>
      </c>
      <c r="AA69" s="91">
        <v>23</v>
      </c>
      <c r="AB69" s="97" t="s">
        <v>24</v>
      </c>
      <c r="AF69" s="108" t="s">
        <v>39</v>
      </c>
      <c r="AG69" s="88">
        <v>13</v>
      </c>
      <c r="AH69" s="91">
        <v>18</v>
      </c>
      <c r="AI69" s="91">
        <v>23</v>
      </c>
      <c r="AJ69" s="91">
        <v>28</v>
      </c>
      <c r="AK69" s="91">
        <v>3</v>
      </c>
      <c r="AL69" s="206">
        <v>8</v>
      </c>
      <c r="AM69" s="91">
        <v>10</v>
      </c>
      <c r="AN69" s="91">
        <v>14</v>
      </c>
      <c r="AO69" s="91">
        <v>18</v>
      </c>
      <c r="AP69" s="91">
        <v>23</v>
      </c>
      <c r="AQ69" s="97" t="s">
        <v>24</v>
      </c>
      <c r="AT69" s="180"/>
    </row>
    <row r="70" spans="1:46" ht="15.75" customHeight="1" thickBot="1" x14ac:dyDescent="0.5">
      <c r="A70" s="217" t="s">
        <v>1</v>
      </c>
      <c r="B70" s="264" t="s">
        <v>245</v>
      </c>
      <c r="C70" s="218"/>
      <c r="D70" s="218"/>
      <c r="E70" s="218"/>
      <c r="F70" s="218"/>
      <c r="G70" s="218">
        <v>3</v>
      </c>
      <c r="H70" s="218">
        <v>6</v>
      </c>
      <c r="I70" s="218">
        <v>4</v>
      </c>
      <c r="J70" s="218"/>
      <c r="K70" s="218"/>
      <c r="L70">
        <f>SUM(C70:K70)</f>
        <v>13</v>
      </c>
      <c r="P70" s="73">
        <v>1</v>
      </c>
      <c r="Q70" s="237" t="s">
        <v>1</v>
      </c>
      <c r="R70" s="86"/>
      <c r="S70" s="86"/>
      <c r="T70" s="86"/>
      <c r="U70" s="86"/>
      <c r="V70" s="86"/>
      <c r="W70" s="86">
        <v>3</v>
      </c>
      <c r="X70" s="86">
        <v>6</v>
      </c>
      <c r="Y70" s="86">
        <v>4</v>
      </c>
      <c r="Z70" s="86"/>
      <c r="AA70" s="86"/>
      <c r="AB70" s="86">
        <f t="shared" ref="AB70:AB87" si="3">SUM(R70:AA70)</f>
        <v>13</v>
      </c>
      <c r="AF70" s="204" t="s">
        <v>11</v>
      </c>
      <c r="AG70" s="86"/>
      <c r="AH70" s="86"/>
      <c r="AI70" s="86"/>
      <c r="AJ70" s="86"/>
      <c r="AK70" s="86"/>
      <c r="AL70" s="86">
        <v>4800</v>
      </c>
      <c r="AM70" s="86">
        <v>220</v>
      </c>
      <c r="AN70" s="86">
        <v>1600</v>
      </c>
      <c r="AO70" s="86">
        <v>320</v>
      </c>
      <c r="AP70" s="86">
        <v>1</v>
      </c>
      <c r="AQ70" s="86">
        <f t="shared" ref="AQ70:AQ87" si="4">SUM(AG70:AP70)</f>
        <v>6941</v>
      </c>
    </row>
    <row r="71" spans="1:46" ht="14.65" thickBot="1" x14ac:dyDescent="0.5">
      <c r="A71" s="217" t="s">
        <v>145</v>
      </c>
      <c r="B71" s="265"/>
      <c r="C71" s="218"/>
      <c r="D71" s="218"/>
      <c r="E71" s="218"/>
      <c r="F71" s="218"/>
      <c r="G71" s="218"/>
      <c r="H71" s="218"/>
      <c r="I71" s="218"/>
      <c r="J71" s="218"/>
      <c r="K71" s="218"/>
      <c r="L71" s="86">
        <f t="shared" ref="L71:L102" si="5">SUM(C71:K71)</f>
        <v>0</v>
      </c>
      <c r="P71" s="73">
        <v>2</v>
      </c>
      <c r="Q71" s="238" t="s">
        <v>41</v>
      </c>
      <c r="R71" s="86"/>
      <c r="S71" s="86"/>
      <c r="T71" s="86"/>
      <c r="U71" s="86"/>
      <c r="V71" s="86">
        <v>5</v>
      </c>
      <c r="W71" s="86">
        <v>3</v>
      </c>
      <c r="X71" s="86"/>
      <c r="Y71" s="86"/>
      <c r="Z71" s="86"/>
      <c r="AA71" s="86"/>
      <c r="AB71" s="86">
        <f t="shared" si="3"/>
        <v>8</v>
      </c>
      <c r="AF71" s="90" t="s">
        <v>14</v>
      </c>
      <c r="AG71" s="180"/>
      <c r="AH71" s="180"/>
      <c r="AI71" s="180"/>
      <c r="AJ71" s="180"/>
      <c r="AK71" s="180">
        <v>6</v>
      </c>
      <c r="AL71" s="180">
        <v>1700</v>
      </c>
      <c r="AM71" s="180">
        <v>40</v>
      </c>
      <c r="AN71" s="180">
        <v>150</v>
      </c>
      <c r="AO71" s="180">
        <v>16</v>
      </c>
      <c r="AP71" s="180"/>
      <c r="AQ71" s="86">
        <f t="shared" si="4"/>
        <v>1912</v>
      </c>
    </row>
    <row r="72" spans="1:46" ht="14.65" thickBot="1" x14ac:dyDescent="0.5">
      <c r="A72" s="217" t="s">
        <v>92</v>
      </c>
      <c r="B72" s="265"/>
      <c r="C72" s="218"/>
      <c r="D72" s="218"/>
      <c r="E72" s="218"/>
      <c r="F72" s="218"/>
      <c r="G72" s="218"/>
      <c r="H72" s="218"/>
      <c r="I72" s="218"/>
      <c r="J72" s="218"/>
      <c r="K72" s="218"/>
      <c r="L72" s="86">
        <f t="shared" si="5"/>
        <v>0</v>
      </c>
      <c r="P72" s="73">
        <v>3</v>
      </c>
      <c r="Q72" s="238" t="s">
        <v>2</v>
      </c>
      <c r="R72" s="86"/>
      <c r="S72" s="86">
        <v>3</v>
      </c>
      <c r="T72" s="86">
        <v>16</v>
      </c>
      <c r="U72" s="86">
        <v>2</v>
      </c>
      <c r="V72" s="86">
        <v>3</v>
      </c>
      <c r="W72" s="86">
        <v>6</v>
      </c>
      <c r="X72" s="86">
        <v>4</v>
      </c>
      <c r="Y72" s="86">
        <v>8</v>
      </c>
      <c r="Z72" s="86"/>
      <c r="AA72" s="86"/>
      <c r="AB72" s="86">
        <f t="shared" si="3"/>
        <v>42</v>
      </c>
      <c r="AF72" s="90" t="s">
        <v>15</v>
      </c>
      <c r="AG72" s="180"/>
      <c r="AH72" s="180"/>
      <c r="AI72" s="180"/>
      <c r="AJ72" s="180"/>
      <c r="AK72" s="180">
        <v>7</v>
      </c>
      <c r="AL72" s="180">
        <v>60</v>
      </c>
      <c r="AM72" s="180">
        <v>95</v>
      </c>
      <c r="AN72" s="180">
        <v>54</v>
      </c>
      <c r="AO72" s="180"/>
      <c r="AP72" s="180">
        <v>1</v>
      </c>
      <c r="AQ72" s="86">
        <f t="shared" si="4"/>
        <v>217</v>
      </c>
    </row>
    <row r="73" spans="1:46" ht="14.65" thickBot="1" x14ac:dyDescent="0.5">
      <c r="A73" s="217" t="s">
        <v>41</v>
      </c>
      <c r="B73" s="265"/>
      <c r="C73" s="218"/>
      <c r="D73" s="218"/>
      <c r="E73" s="218"/>
      <c r="F73" s="218">
        <v>5</v>
      </c>
      <c r="G73" s="218">
        <v>3</v>
      </c>
      <c r="H73" s="218"/>
      <c r="I73" s="218"/>
      <c r="J73" s="218"/>
      <c r="K73" s="218"/>
      <c r="L73" s="86">
        <f t="shared" si="5"/>
        <v>8</v>
      </c>
      <c r="P73" s="73">
        <v>4</v>
      </c>
      <c r="Q73" s="238" t="s">
        <v>3</v>
      </c>
      <c r="R73" s="86"/>
      <c r="S73" s="86">
        <v>1</v>
      </c>
      <c r="T73" s="86">
        <v>1</v>
      </c>
      <c r="U73" s="86">
        <v>1</v>
      </c>
      <c r="V73" s="86"/>
      <c r="W73" s="86">
        <v>2</v>
      </c>
      <c r="X73" s="86">
        <v>3</v>
      </c>
      <c r="Y73" s="86">
        <v>2</v>
      </c>
      <c r="Z73" s="86">
        <v>2</v>
      </c>
      <c r="AA73" s="86">
        <v>3</v>
      </c>
      <c r="AB73" s="86">
        <f t="shared" si="3"/>
        <v>15</v>
      </c>
      <c r="AF73" s="205" t="s">
        <v>2</v>
      </c>
      <c r="AG73" s="86"/>
      <c r="AH73" s="86">
        <v>3</v>
      </c>
      <c r="AI73" s="86">
        <v>16</v>
      </c>
      <c r="AJ73" s="86">
        <v>2</v>
      </c>
      <c r="AK73" s="86">
        <v>3</v>
      </c>
      <c r="AL73" s="86">
        <v>6</v>
      </c>
      <c r="AM73" s="86">
        <v>4</v>
      </c>
      <c r="AN73" s="86">
        <v>8</v>
      </c>
      <c r="AO73" s="86"/>
      <c r="AP73" s="86"/>
      <c r="AQ73" s="86">
        <f t="shared" si="4"/>
        <v>42</v>
      </c>
    </row>
    <row r="74" spans="1:46" ht="14.65" thickBot="1" x14ac:dyDescent="0.5">
      <c r="A74" s="217" t="s">
        <v>2</v>
      </c>
      <c r="B74" s="265"/>
      <c r="C74" s="218">
        <v>3</v>
      </c>
      <c r="D74" s="218">
        <v>16</v>
      </c>
      <c r="E74" s="218">
        <v>2</v>
      </c>
      <c r="F74" s="218">
        <v>3</v>
      </c>
      <c r="G74" s="218">
        <v>6</v>
      </c>
      <c r="H74" s="218">
        <v>4</v>
      </c>
      <c r="I74" s="218">
        <v>8</v>
      </c>
      <c r="J74" s="218"/>
      <c r="K74" s="218"/>
      <c r="L74" s="86">
        <f t="shared" si="5"/>
        <v>42</v>
      </c>
      <c r="P74" s="73">
        <v>5</v>
      </c>
      <c r="Q74" s="238" t="s">
        <v>4</v>
      </c>
      <c r="R74" s="86"/>
      <c r="S74" s="86"/>
      <c r="T74" s="86"/>
      <c r="U74" s="86"/>
      <c r="V74" s="86"/>
      <c r="W74" s="86"/>
      <c r="X74" s="86">
        <v>2</v>
      </c>
      <c r="Y74" s="86">
        <v>1</v>
      </c>
      <c r="Z74" s="86">
        <v>2</v>
      </c>
      <c r="AA74" s="86">
        <v>3</v>
      </c>
      <c r="AB74" s="86">
        <f t="shared" si="3"/>
        <v>8</v>
      </c>
      <c r="AF74" s="90" t="s">
        <v>13</v>
      </c>
      <c r="AG74" s="180"/>
      <c r="AH74" s="180"/>
      <c r="AI74" s="180"/>
      <c r="AJ74" s="180"/>
      <c r="AK74" s="180"/>
      <c r="AL74" s="180"/>
      <c r="AM74" s="180">
        <v>4</v>
      </c>
      <c r="AN74" s="180">
        <v>5</v>
      </c>
      <c r="AO74" s="180">
        <v>20</v>
      </c>
      <c r="AP74" s="180">
        <v>1</v>
      </c>
      <c r="AQ74" s="86">
        <f t="shared" si="4"/>
        <v>30</v>
      </c>
    </row>
    <row r="75" spans="1:46" ht="14.65" thickBot="1" x14ac:dyDescent="0.5">
      <c r="A75" s="217" t="s">
        <v>43</v>
      </c>
      <c r="B75" s="265"/>
      <c r="C75" s="218"/>
      <c r="D75" s="218"/>
      <c r="E75" s="218"/>
      <c r="F75" s="218"/>
      <c r="G75" s="218"/>
      <c r="H75" s="218"/>
      <c r="I75" s="218"/>
      <c r="J75" s="218"/>
      <c r="K75" s="218"/>
      <c r="L75" s="86">
        <f t="shared" si="5"/>
        <v>0</v>
      </c>
      <c r="P75" s="73">
        <v>6</v>
      </c>
      <c r="Q75" s="238" t="s">
        <v>7</v>
      </c>
      <c r="R75" s="86"/>
      <c r="S75" s="86"/>
      <c r="T75" s="86"/>
      <c r="U75" s="86">
        <v>2</v>
      </c>
      <c r="V75" s="86">
        <v>1</v>
      </c>
      <c r="W75" s="86">
        <v>3</v>
      </c>
      <c r="X75" s="86">
        <v>1</v>
      </c>
      <c r="Y75" s="86">
        <v>6</v>
      </c>
      <c r="Z75" s="86">
        <v>6</v>
      </c>
      <c r="AA75" s="86"/>
      <c r="AB75" s="86">
        <f t="shared" si="3"/>
        <v>19</v>
      </c>
      <c r="AF75" s="205" t="s">
        <v>32</v>
      </c>
      <c r="AG75" s="86"/>
      <c r="AH75" s="86"/>
      <c r="AI75" s="86"/>
      <c r="AJ75" s="86"/>
      <c r="AK75" s="86"/>
      <c r="AL75" s="86"/>
      <c r="AM75" s="86"/>
      <c r="AN75" s="86">
        <v>20</v>
      </c>
      <c r="AO75" s="86"/>
      <c r="AP75" s="86">
        <v>1</v>
      </c>
      <c r="AQ75" s="86">
        <f t="shared" si="4"/>
        <v>21</v>
      </c>
    </row>
    <row r="76" spans="1:46" ht="14.65" thickBot="1" x14ac:dyDescent="0.5">
      <c r="A76" s="217" t="s">
        <v>3</v>
      </c>
      <c r="B76" s="265"/>
      <c r="C76" s="218">
        <v>1</v>
      </c>
      <c r="D76" s="218">
        <v>1</v>
      </c>
      <c r="E76" s="218">
        <v>1</v>
      </c>
      <c r="F76" s="218"/>
      <c r="G76" s="218">
        <v>2</v>
      </c>
      <c r="H76" s="218">
        <v>3</v>
      </c>
      <c r="I76" s="218">
        <v>2</v>
      </c>
      <c r="J76" s="218">
        <v>2</v>
      </c>
      <c r="K76" s="218">
        <v>3</v>
      </c>
      <c r="L76" s="86">
        <f t="shared" si="5"/>
        <v>15</v>
      </c>
      <c r="P76" s="73">
        <v>7</v>
      </c>
      <c r="Q76" s="238" t="s">
        <v>51</v>
      </c>
      <c r="R76" s="86"/>
      <c r="S76" s="86"/>
      <c r="T76" s="86"/>
      <c r="U76" s="86"/>
      <c r="V76" s="86">
        <v>1</v>
      </c>
      <c r="W76" s="86">
        <v>4</v>
      </c>
      <c r="X76" s="86">
        <v>2</v>
      </c>
      <c r="Y76" s="86">
        <v>1</v>
      </c>
      <c r="Z76" s="86"/>
      <c r="AA76" s="86"/>
      <c r="AB76" s="86">
        <f t="shared" si="3"/>
        <v>8</v>
      </c>
      <c r="AF76" s="205" t="s">
        <v>7</v>
      </c>
      <c r="AG76" s="86"/>
      <c r="AH76" s="86"/>
      <c r="AI76" s="86"/>
      <c r="AJ76" s="86">
        <v>2</v>
      </c>
      <c r="AK76" s="86">
        <v>1</v>
      </c>
      <c r="AL76" s="86">
        <v>3</v>
      </c>
      <c r="AM76" s="86">
        <v>1</v>
      </c>
      <c r="AN76" s="86">
        <v>6</v>
      </c>
      <c r="AO76" s="86">
        <v>6</v>
      </c>
      <c r="AP76" s="86"/>
      <c r="AQ76" s="86">
        <f t="shared" si="4"/>
        <v>19</v>
      </c>
    </row>
    <row r="77" spans="1:46" ht="14.65" thickBot="1" x14ac:dyDescent="0.5">
      <c r="A77" s="217" t="s">
        <v>4</v>
      </c>
      <c r="B77" s="265"/>
      <c r="C77" s="218"/>
      <c r="D77" s="218"/>
      <c r="E77" s="218"/>
      <c r="F77" s="218"/>
      <c r="G77" s="218"/>
      <c r="H77" s="218">
        <v>2</v>
      </c>
      <c r="I77" s="218">
        <v>1</v>
      </c>
      <c r="J77" s="218">
        <v>2</v>
      </c>
      <c r="K77" s="218">
        <v>3</v>
      </c>
      <c r="L77" s="86">
        <f t="shared" si="5"/>
        <v>8</v>
      </c>
      <c r="P77" s="73">
        <v>8</v>
      </c>
      <c r="Q77" s="238" t="s">
        <v>42</v>
      </c>
      <c r="R77" s="86"/>
      <c r="S77" s="86"/>
      <c r="T77" s="86"/>
      <c r="U77" s="86"/>
      <c r="V77" s="86"/>
      <c r="W77" s="86"/>
      <c r="X77" s="86"/>
      <c r="Y77" s="86">
        <v>4</v>
      </c>
      <c r="Z77" s="86"/>
      <c r="AA77" s="86"/>
      <c r="AB77" s="86">
        <f t="shared" si="3"/>
        <v>4</v>
      </c>
      <c r="AF77" s="205" t="s">
        <v>3</v>
      </c>
      <c r="AG77" s="86"/>
      <c r="AH77" s="86">
        <v>1</v>
      </c>
      <c r="AI77" s="86">
        <v>1</v>
      </c>
      <c r="AJ77" s="86">
        <v>1</v>
      </c>
      <c r="AK77" s="86"/>
      <c r="AL77" s="86">
        <v>2</v>
      </c>
      <c r="AM77" s="86">
        <v>3</v>
      </c>
      <c r="AN77" s="86">
        <v>2</v>
      </c>
      <c r="AO77" s="86">
        <v>2</v>
      </c>
      <c r="AP77" s="86">
        <v>3</v>
      </c>
      <c r="AQ77" s="86">
        <f t="shared" si="4"/>
        <v>15</v>
      </c>
    </row>
    <row r="78" spans="1:46" ht="14.65" thickBot="1" x14ac:dyDescent="0.5">
      <c r="A78" s="217" t="s">
        <v>48</v>
      </c>
      <c r="B78" s="265"/>
      <c r="C78" s="218"/>
      <c r="D78" s="218"/>
      <c r="E78" s="218"/>
      <c r="F78" s="218"/>
      <c r="G78" s="218"/>
      <c r="H78" s="218"/>
      <c r="I78" s="218"/>
      <c r="J78" s="218"/>
      <c r="K78" s="218"/>
      <c r="L78" s="86">
        <f t="shared" si="5"/>
        <v>0</v>
      </c>
      <c r="P78" s="73">
        <v>9</v>
      </c>
      <c r="Q78" s="238" t="s">
        <v>11</v>
      </c>
      <c r="R78" s="86"/>
      <c r="S78" s="86"/>
      <c r="T78" s="86"/>
      <c r="U78" s="86"/>
      <c r="V78" s="86"/>
      <c r="W78" s="86">
        <v>4800</v>
      </c>
      <c r="X78" s="86">
        <v>220</v>
      </c>
      <c r="Y78" s="86">
        <v>1600</v>
      </c>
      <c r="Z78" s="86">
        <v>320</v>
      </c>
      <c r="AA78" s="86">
        <v>1</v>
      </c>
      <c r="AB78" s="86">
        <f t="shared" si="3"/>
        <v>6941</v>
      </c>
      <c r="AF78" s="205" t="s">
        <v>1</v>
      </c>
      <c r="AG78" s="86"/>
      <c r="AH78" s="86"/>
      <c r="AI78" s="86"/>
      <c r="AJ78" s="86"/>
      <c r="AK78" s="86"/>
      <c r="AL78" s="86">
        <v>3</v>
      </c>
      <c r="AM78" s="86">
        <v>6</v>
      </c>
      <c r="AN78" s="86">
        <v>4</v>
      </c>
      <c r="AO78" s="86"/>
      <c r="AP78" s="86"/>
      <c r="AQ78" s="86">
        <f t="shared" si="4"/>
        <v>13</v>
      </c>
    </row>
    <row r="79" spans="1:46" ht="14.65" thickBot="1" x14ac:dyDescent="0.5">
      <c r="A79" s="217" t="s">
        <v>6</v>
      </c>
      <c r="B79" s="265"/>
      <c r="C79" s="219"/>
      <c r="D79" s="218"/>
      <c r="E79" s="218"/>
      <c r="F79" s="218"/>
      <c r="G79" s="218"/>
      <c r="H79" s="218"/>
      <c r="I79" s="218"/>
      <c r="J79" s="218"/>
      <c r="K79" s="218"/>
      <c r="L79" s="86">
        <f t="shared" si="5"/>
        <v>0</v>
      </c>
      <c r="P79" s="73">
        <v>10</v>
      </c>
      <c r="Q79" s="238" t="s">
        <v>12</v>
      </c>
      <c r="R79" s="86"/>
      <c r="S79" s="86"/>
      <c r="T79" s="86"/>
      <c r="U79" s="86"/>
      <c r="V79" s="86"/>
      <c r="W79" s="86">
        <v>2</v>
      </c>
      <c r="X79" s="86">
        <v>4</v>
      </c>
      <c r="Y79" s="86">
        <v>2</v>
      </c>
      <c r="Z79" s="86"/>
      <c r="AA79" s="86"/>
      <c r="AB79" s="86">
        <f t="shared" si="3"/>
        <v>8</v>
      </c>
      <c r="AF79" s="205" t="s">
        <v>41</v>
      </c>
      <c r="AG79" s="86"/>
      <c r="AH79" s="86"/>
      <c r="AI79" s="86"/>
      <c r="AJ79" s="86"/>
      <c r="AK79" s="86">
        <v>5</v>
      </c>
      <c r="AL79" s="86">
        <v>3</v>
      </c>
      <c r="AM79" s="86"/>
      <c r="AN79" s="86"/>
      <c r="AO79" s="86"/>
      <c r="AP79" s="86"/>
      <c r="AQ79" s="86">
        <f t="shared" si="4"/>
        <v>8</v>
      </c>
    </row>
    <row r="80" spans="1:46" ht="14.65" thickBot="1" x14ac:dyDescent="0.5">
      <c r="A80" s="217" t="s">
        <v>7</v>
      </c>
      <c r="B80" s="265"/>
      <c r="C80" s="218"/>
      <c r="D80" s="218"/>
      <c r="E80" s="218">
        <v>2</v>
      </c>
      <c r="F80" s="218">
        <v>1</v>
      </c>
      <c r="G80" s="218">
        <v>3</v>
      </c>
      <c r="H80" s="218">
        <v>1</v>
      </c>
      <c r="I80" s="218">
        <v>6</v>
      </c>
      <c r="J80" s="218">
        <v>6</v>
      </c>
      <c r="K80" s="218"/>
      <c r="L80" s="86">
        <f t="shared" si="5"/>
        <v>19</v>
      </c>
      <c r="P80" s="73">
        <v>11</v>
      </c>
      <c r="Q80" s="238" t="s">
        <v>32</v>
      </c>
      <c r="R80" s="86"/>
      <c r="S80" s="86"/>
      <c r="T80" s="86"/>
      <c r="U80" s="86"/>
      <c r="V80" s="86"/>
      <c r="W80" s="86"/>
      <c r="X80" s="86"/>
      <c r="Y80" s="86">
        <v>20</v>
      </c>
      <c r="Z80" s="86"/>
      <c r="AA80" s="86">
        <v>1</v>
      </c>
      <c r="AB80" s="86">
        <f t="shared" si="3"/>
        <v>21</v>
      </c>
      <c r="AF80" s="205" t="s">
        <v>4</v>
      </c>
      <c r="AG80" s="86"/>
      <c r="AH80" s="86"/>
      <c r="AI80" s="86"/>
      <c r="AJ80" s="86"/>
      <c r="AK80" s="86"/>
      <c r="AL80" s="86"/>
      <c r="AM80" s="86">
        <v>2</v>
      </c>
      <c r="AN80" s="86">
        <v>1</v>
      </c>
      <c r="AO80" s="86">
        <v>2</v>
      </c>
      <c r="AP80" s="86">
        <v>3</v>
      </c>
      <c r="AQ80" s="86">
        <f t="shared" si="4"/>
        <v>8</v>
      </c>
    </row>
    <row r="81" spans="1:43" ht="14.65" thickBot="1" x14ac:dyDescent="0.5">
      <c r="A81" s="217" t="s">
        <v>50</v>
      </c>
      <c r="B81" s="265"/>
      <c r="C81" s="218"/>
      <c r="D81" s="218"/>
      <c r="E81" s="218"/>
      <c r="F81" s="218"/>
      <c r="G81" s="218"/>
      <c r="H81" s="218"/>
      <c r="I81" s="218"/>
      <c r="J81" s="218"/>
      <c r="K81" s="218"/>
      <c r="L81" s="86">
        <f t="shared" si="5"/>
        <v>0</v>
      </c>
      <c r="P81" s="73"/>
      <c r="Q81" s="239" t="s">
        <v>146</v>
      </c>
      <c r="V81">
        <v>1</v>
      </c>
      <c r="AB81" s="86">
        <f t="shared" si="3"/>
        <v>1</v>
      </c>
      <c r="AF81" s="228" t="s">
        <v>51</v>
      </c>
      <c r="AG81" s="86"/>
      <c r="AH81" s="86"/>
      <c r="AI81" s="86"/>
      <c r="AJ81" s="86"/>
      <c r="AK81" s="86">
        <v>1</v>
      </c>
      <c r="AL81" s="86">
        <v>4</v>
      </c>
      <c r="AM81" s="86">
        <v>2</v>
      </c>
      <c r="AN81" s="86">
        <v>1</v>
      </c>
      <c r="AO81" s="86"/>
      <c r="AP81" s="86"/>
      <c r="AQ81" s="86">
        <f t="shared" si="4"/>
        <v>8</v>
      </c>
    </row>
    <row r="82" spans="1:43" ht="14.65" thickBot="1" x14ac:dyDescent="0.5">
      <c r="A82" s="217" t="s">
        <v>51</v>
      </c>
      <c r="B82" s="265"/>
      <c r="C82" s="218"/>
      <c r="D82" s="218"/>
      <c r="E82" s="218"/>
      <c r="F82" s="218">
        <v>1</v>
      </c>
      <c r="G82" s="218">
        <v>4</v>
      </c>
      <c r="H82" s="218">
        <v>2</v>
      </c>
      <c r="I82" s="218">
        <v>1</v>
      </c>
      <c r="J82" s="218"/>
      <c r="K82" s="218"/>
      <c r="L82" s="86">
        <f t="shared" si="5"/>
        <v>8</v>
      </c>
      <c r="P82" s="73">
        <v>12</v>
      </c>
      <c r="Q82" s="239" t="s">
        <v>46</v>
      </c>
      <c r="Y82">
        <v>1</v>
      </c>
      <c r="AB82" s="86">
        <f t="shared" si="3"/>
        <v>1</v>
      </c>
      <c r="AF82" s="228" t="s">
        <v>12</v>
      </c>
      <c r="AG82" s="86"/>
      <c r="AH82" s="86"/>
      <c r="AI82" s="86"/>
      <c r="AJ82" s="86"/>
      <c r="AK82" s="86"/>
      <c r="AL82" s="86">
        <v>2</v>
      </c>
      <c r="AM82" s="86">
        <v>4</v>
      </c>
      <c r="AN82" s="86">
        <v>2</v>
      </c>
      <c r="AO82" s="86"/>
      <c r="AP82" s="86"/>
      <c r="AQ82" s="86">
        <f t="shared" si="4"/>
        <v>8</v>
      </c>
    </row>
    <row r="83" spans="1:43" ht="14.65" thickBot="1" x14ac:dyDescent="0.5">
      <c r="A83" s="217" t="s">
        <v>42</v>
      </c>
      <c r="B83" s="265"/>
      <c r="C83" s="218"/>
      <c r="D83" s="218"/>
      <c r="E83" s="218"/>
      <c r="F83" s="218"/>
      <c r="G83" s="218"/>
      <c r="H83" s="218"/>
      <c r="I83" s="218">
        <v>4</v>
      </c>
      <c r="J83" s="218"/>
      <c r="K83" s="218"/>
      <c r="L83" s="86">
        <f t="shared" si="5"/>
        <v>4</v>
      </c>
      <c r="P83" s="73">
        <v>13</v>
      </c>
      <c r="Q83" s="239" t="s">
        <v>13</v>
      </c>
      <c r="X83">
        <v>4</v>
      </c>
      <c r="Y83">
        <v>5</v>
      </c>
      <c r="Z83">
        <v>20</v>
      </c>
      <c r="AA83">
        <v>1</v>
      </c>
      <c r="AB83" s="86">
        <f t="shared" si="3"/>
        <v>30</v>
      </c>
      <c r="AF83" s="87" t="s">
        <v>16</v>
      </c>
      <c r="AG83" s="180"/>
      <c r="AH83" s="180"/>
      <c r="AI83" s="180"/>
      <c r="AJ83" s="180">
        <v>2</v>
      </c>
      <c r="AK83" s="180"/>
      <c r="AL83" s="180"/>
      <c r="AM83" s="180">
        <v>1</v>
      </c>
      <c r="AN83" s="180">
        <v>2</v>
      </c>
      <c r="AO83" s="180">
        <v>2</v>
      </c>
      <c r="AP83" s="180">
        <v>1</v>
      </c>
      <c r="AQ83" s="86">
        <f t="shared" si="4"/>
        <v>8</v>
      </c>
    </row>
    <row r="84" spans="1:43" ht="14.65" thickBot="1" x14ac:dyDescent="0.5">
      <c r="A84" s="217" t="s">
        <v>8</v>
      </c>
      <c r="B84" s="265"/>
      <c r="C84" s="218"/>
      <c r="D84" s="218"/>
      <c r="E84" s="218"/>
      <c r="F84" s="218"/>
      <c r="G84" s="218"/>
      <c r="H84" s="218"/>
      <c r="I84" s="218"/>
      <c r="J84" s="218"/>
      <c r="K84" s="218"/>
      <c r="L84" s="86">
        <f t="shared" si="5"/>
        <v>0</v>
      </c>
      <c r="P84" s="73">
        <v>14</v>
      </c>
      <c r="Q84" s="239" t="s">
        <v>14</v>
      </c>
      <c r="V84">
        <v>6</v>
      </c>
      <c r="W84">
        <v>1700</v>
      </c>
      <c r="X84">
        <v>40</v>
      </c>
      <c r="Y84">
        <v>150</v>
      </c>
      <c r="Z84">
        <v>16</v>
      </c>
      <c r="AB84" s="86">
        <f t="shared" si="3"/>
        <v>1912</v>
      </c>
      <c r="AF84" s="228" t="s">
        <v>42</v>
      </c>
      <c r="AG84" s="86"/>
      <c r="AH84" s="86"/>
      <c r="AI84" s="86"/>
      <c r="AJ84" s="86"/>
      <c r="AK84" s="86"/>
      <c r="AL84" s="86"/>
      <c r="AM84" s="86"/>
      <c r="AN84" s="86">
        <v>4</v>
      </c>
      <c r="AO84" s="86"/>
      <c r="AP84" s="86"/>
      <c r="AQ84" s="86">
        <f t="shared" si="4"/>
        <v>4</v>
      </c>
    </row>
    <row r="85" spans="1:43" ht="14.65" thickBot="1" x14ac:dyDescent="0.5">
      <c r="A85" s="217" t="s">
        <v>9</v>
      </c>
      <c r="B85" s="265"/>
      <c r="C85" s="218"/>
      <c r="D85" s="218"/>
      <c r="E85" s="218"/>
      <c r="F85" s="218"/>
      <c r="G85" s="218"/>
      <c r="H85" s="218"/>
      <c r="I85" s="218"/>
      <c r="J85" s="218"/>
      <c r="K85" s="218"/>
      <c r="L85" s="86">
        <f t="shared" si="5"/>
        <v>0</v>
      </c>
      <c r="P85" s="73">
        <v>15</v>
      </c>
      <c r="Q85" s="239" t="s">
        <v>53</v>
      </c>
      <c r="Y85">
        <v>1</v>
      </c>
      <c r="AB85" s="86">
        <f t="shared" si="3"/>
        <v>1</v>
      </c>
      <c r="AF85" s="87" t="s">
        <v>146</v>
      </c>
      <c r="AG85" s="180"/>
      <c r="AH85" s="180"/>
      <c r="AI85" s="180"/>
      <c r="AJ85" s="180"/>
      <c r="AK85" s="180">
        <v>1</v>
      </c>
      <c r="AL85" s="180"/>
      <c r="AM85" s="180"/>
      <c r="AN85" s="180"/>
      <c r="AO85" s="180"/>
      <c r="AP85" s="180"/>
      <c r="AQ85" s="86">
        <f t="shared" si="4"/>
        <v>1</v>
      </c>
    </row>
    <row r="86" spans="1:43" ht="14.65" thickBot="1" x14ac:dyDescent="0.5">
      <c r="A86" s="217" t="s">
        <v>44</v>
      </c>
      <c r="B86" s="265"/>
      <c r="C86" s="218"/>
      <c r="D86" s="218"/>
      <c r="E86" s="218"/>
      <c r="F86" s="218"/>
      <c r="G86" s="218"/>
      <c r="H86" s="218"/>
      <c r="I86" s="218"/>
      <c r="J86" s="218"/>
      <c r="K86" s="218"/>
      <c r="L86" s="86">
        <f t="shared" si="5"/>
        <v>0</v>
      </c>
      <c r="P86" s="73">
        <v>16</v>
      </c>
      <c r="Q86" s="239" t="s">
        <v>15</v>
      </c>
      <c r="V86">
        <v>7</v>
      </c>
      <c r="W86">
        <v>60</v>
      </c>
      <c r="X86">
        <v>95</v>
      </c>
      <c r="Y86">
        <v>54</v>
      </c>
      <c r="AA86">
        <v>1</v>
      </c>
      <c r="AB86" s="86">
        <f t="shared" si="3"/>
        <v>217</v>
      </c>
      <c r="AF86" s="87" t="s">
        <v>46</v>
      </c>
      <c r="AG86" s="180"/>
      <c r="AH86" s="180"/>
      <c r="AI86" s="180"/>
      <c r="AJ86" s="180"/>
      <c r="AK86" s="180"/>
      <c r="AL86" s="180"/>
      <c r="AM86" s="180"/>
      <c r="AN86" s="180">
        <v>1</v>
      </c>
      <c r="AO86" s="180"/>
      <c r="AP86" s="180"/>
      <c r="AQ86" s="86">
        <f t="shared" si="4"/>
        <v>1</v>
      </c>
    </row>
    <row r="87" spans="1:43" ht="14.65" thickBot="1" x14ac:dyDescent="0.5">
      <c r="A87" s="217" t="s">
        <v>10</v>
      </c>
      <c r="B87" s="265"/>
      <c r="C87" s="218"/>
      <c r="D87" s="218"/>
      <c r="E87" s="218"/>
      <c r="F87" s="218"/>
      <c r="G87" s="218"/>
      <c r="H87" s="218"/>
      <c r="I87" s="218"/>
      <c r="J87" s="218"/>
      <c r="K87" s="218"/>
      <c r="L87" s="86">
        <f t="shared" si="5"/>
        <v>0</v>
      </c>
      <c r="P87" s="73">
        <v>17</v>
      </c>
      <c r="Q87" s="239" t="s">
        <v>16</v>
      </c>
      <c r="U87">
        <v>2</v>
      </c>
      <c r="X87">
        <v>1</v>
      </c>
      <c r="Y87">
        <v>2</v>
      </c>
      <c r="Z87">
        <v>2</v>
      </c>
      <c r="AA87">
        <v>1</v>
      </c>
      <c r="AB87" s="86">
        <f t="shared" si="3"/>
        <v>8</v>
      </c>
      <c r="AF87" s="87" t="s">
        <v>53</v>
      </c>
      <c r="AG87" s="180"/>
      <c r="AH87" s="180"/>
      <c r="AI87" s="180"/>
      <c r="AJ87" s="180"/>
      <c r="AK87" s="180"/>
      <c r="AL87" s="180"/>
      <c r="AM87" s="180"/>
      <c r="AN87" s="180">
        <v>1</v>
      </c>
      <c r="AO87" s="180"/>
      <c r="AP87" s="180"/>
      <c r="AQ87" s="86">
        <f t="shared" si="4"/>
        <v>1</v>
      </c>
    </row>
    <row r="88" spans="1:43" ht="14.65" thickBot="1" x14ac:dyDescent="0.5">
      <c r="A88" s="217" t="s">
        <v>11</v>
      </c>
      <c r="B88" s="265"/>
      <c r="C88" s="218"/>
      <c r="D88" s="218"/>
      <c r="E88" s="218"/>
      <c r="F88" s="218"/>
      <c r="G88" s="220">
        <v>4800</v>
      </c>
      <c r="H88" s="220">
        <v>220</v>
      </c>
      <c r="I88" s="220">
        <v>1600</v>
      </c>
      <c r="J88" s="220">
        <v>320</v>
      </c>
      <c r="K88" s="220">
        <v>1</v>
      </c>
      <c r="L88" s="86">
        <f t="shared" si="5"/>
        <v>6941</v>
      </c>
      <c r="P88" s="73"/>
      <c r="Q88" s="170" t="s">
        <v>24</v>
      </c>
      <c r="R88" s="225">
        <v>0</v>
      </c>
      <c r="S88" s="226">
        <v>4</v>
      </c>
      <c r="T88" s="226">
        <v>17</v>
      </c>
      <c r="U88" s="226">
        <v>7</v>
      </c>
      <c r="V88" s="226">
        <v>24</v>
      </c>
      <c r="W88" s="226">
        <v>6583</v>
      </c>
      <c r="X88" s="226">
        <v>382</v>
      </c>
      <c r="Y88" s="226">
        <v>1861</v>
      </c>
      <c r="Z88" s="226">
        <v>368</v>
      </c>
      <c r="AA88" s="226">
        <v>11</v>
      </c>
      <c r="AB88" s="227">
        <v>9257</v>
      </c>
      <c r="AF88" s="170" t="s">
        <v>24</v>
      </c>
      <c r="AG88" s="225">
        <v>0</v>
      </c>
      <c r="AH88" s="226">
        <v>4</v>
      </c>
      <c r="AI88" s="226">
        <v>17</v>
      </c>
      <c r="AJ88" s="226">
        <v>7</v>
      </c>
      <c r="AK88" s="226">
        <v>24</v>
      </c>
      <c r="AL88" s="226">
        <v>6583</v>
      </c>
      <c r="AM88" s="226">
        <v>382</v>
      </c>
      <c r="AN88" s="226">
        <v>1861</v>
      </c>
      <c r="AO88" s="226">
        <v>368</v>
      </c>
      <c r="AP88" s="226">
        <v>11</v>
      </c>
      <c r="AQ88" s="227">
        <v>9257</v>
      </c>
    </row>
    <row r="89" spans="1:43" ht="14.65" thickBot="1" x14ac:dyDescent="0.5">
      <c r="A89" s="217" t="s">
        <v>12</v>
      </c>
      <c r="B89" s="265"/>
      <c r="C89" s="218"/>
      <c r="D89" s="218"/>
      <c r="E89" s="218"/>
      <c r="F89" s="218"/>
      <c r="G89" s="218">
        <v>2</v>
      </c>
      <c r="H89" s="218">
        <v>4</v>
      </c>
      <c r="I89" s="218">
        <v>2</v>
      </c>
      <c r="J89" s="218"/>
      <c r="K89" s="218"/>
      <c r="L89" s="86">
        <f t="shared" si="5"/>
        <v>8</v>
      </c>
      <c r="P89" s="73"/>
      <c r="R89" s="17"/>
    </row>
    <row r="90" spans="1:43" ht="14.65" thickBot="1" x14ac:dyDescent="0.5">
      <c r="A90" s="217" t="s">
        <v>32</v>
      </c>
      <c r="B90" s="265"/>
      <c r="C90" s="218"/>
      <c r="D90" s="218"/>
      <c r="E90" s="218"/>
      <c r="F90" s="218"/>
      <c r="G90" s="218"/>
      <c r="H90" s="218"/>
      <c r="I90" s="218">
        <v>20</v>
      </c>
      <c r="J90" s="218"/>
      <c r="K90" s="218">
        <v>1</v>
      </c>
      <c r="L90" s="86">
        <f t="shared" si="5"/>
        <v>21</v>
      </c>
      <c r="P90" s="73"/>
    </row>
    <row r="91" spans="1:43" ht="14.65" thickBot="1" x14ac:dyDescent="0.5">
      <c r="A91" s="217" t="s">
        <v>146</v>
      </c>
      <c r="B91" s="265"/>
      <c r="C91" s="218"/>
      <c r="D91" s="218"/>
      <c r="E91" s="218"/>
      <c r="F91" s="218">
        <v>1</v>
      </c>
      <c r="G91" s="218"/>
      <c r="H91" s="218"/>
      <c r="I91" s="218"/>
      <c r="J91" s="218"/>
      <c r="K91" s="218"/>
      <c r="L91" s="86">
        <f t="shared" si="5"/>
        <v>1</v>
      </c>
      <c r="Q91" s="1" t="s">
        <v>222</v>
      </c>
      <c r="AB91" s="180"/>
      <c r="AE91" s="17">
        <f>SUM(AC91:AC91)</f>
        <v>0</v>
      </c>
      <c r="AF91" s="1" t="s">
        <v>222</v>
      </c>
    </row>
    <row r="92" spans="1:43" ht="14.65" thickBot="1" x14ac:dyDescent="0.5">
      <c r="A92" s="217" t="s">
        <v>46</v>
      </c>
      <c r="B92" s="265"/>
      <c r="C92" s="218"/>
      <c r="D92" s="218"/>
      <c r="E92" s="218"/>
      <c r="F92" s="218"/>
      <c r="G92" s="218"/>
      <c r="H92" s="218"/>
      <c r="I92" s="218">
        <v>1</v>
      </c>
      <c r="J92" s="218"/>
      <c r="K92" s="218"/>
      <c r="L92" s="86">
        <f t="shared" si="5"/>
        <v>1</v>
      </c>
      <c r="Q92" s="1" t="s">
        <v>153</v>
      </c>
      <c r="AC92" s="86"/>
      <c r="AF92" s="1" t="s">
        <v>153</v>
      </c>
    </row>
    <row r="93" spans="1:43" ht="14.65" thickBot="1" x14ac:dyDescent="0.5">
      <c r="A93" s="217" t="s">
        <v>13</v>
      </c>
      <c r="B93" s="265"/>
      <c r="C93" s="218"/>
      <c r="D93" s="218"/>
      <c r="E93" s="218"/>
      <c r="F93" s="218"/>
      <c r="G93" s="218"/>
      <c r="H93" s="218">
        <v>4</v>
      </c>
      <c r="I93" s="218">
        <v>5</v>
      </c>
      <c r="J93" s="218">
        <v>20</v>
      </c>
      <c r="K93" s="218">
        <v>1</v>
      </c>
      <c r="L93" s="86">
        <f t="shared" si="5"/>
        <v>30</v>
      </c>
      <c r="Q93" s="180" t="s">
        <v>248</v>
      </c>
      <c r="AC93" s="86"/>
      <c r="AF93" s="229" t="s">
        <v>250</v>
      </c>
      <c r="AG93" s="14"/>
      <c r="AH93" s="14"/>
      <c r="AI93" s="14"/>
    </row>
    <row r="94" spans="1:43" ht="14.65" thickBot="1" x14ac:dyDescent="0.5">
      <c r="A94" s="217" t="s">
        <v>14</v>
      </c>
      <c r="B94" s="265"/>
      <c r="C94" s="218"/>
      <c r="D94" s="218"/>
      <c r="E94" s="218"/>
      <c r="F94" s="218">
        <v>6</v>
      </c>
      <c r="G94" s="220">
        <v>1700</v>
      </c>
      <c r="H94" s="220">
        <v>40</v>
      </c>
      <c r="I94" s="220">
        <v>150</v>
      </c>
      <c r="J94" s="220">
        <v>16</v>
      </c>
      <c r="K94" s="220"/>
      <c r="L94" s="86">
        <f t="shared" si="5"/>
        <v>1912</v>
      </c>
      <c r="P94" s="180"/>
      <c r="Q94" s="180"/>
      <c r="R94" s="1" t="s">
        <v>20</v>
      </c>
      <c r="S94" s="180"/>
      <c r="T94" s="180"/>
      <c r="U94" s="180"/>
      <c r="V94" s="1" t="s">
        <v>21</v>
      </c>
      <c r="W94" s="180"/>
      <c r="X94" s="180"/>
      <c r="Y94" s="180"/>
      <c r="Z94" s="180"/>
      <c r="AA94" s="180"/>
      <c r="AF94" s="180"/>
      <c r="AG94" s="1" t="s">
        <v>20</v>
      </c>
      <c r="AH94" s="180"/>
      <c r="AI94" s="180"/>
      <c r="AJ94" s="180"/>
      <c r="AK94" s="1" t="s">
        <v>21</v>
      </c>
      <c r="AL94" s="180"/>
      <c r="AM94" s="180"/>
      <c r="AN94" s="180"/>
      <c r="AO94" s="180"/>
      <c r="AP94" s="180"/>
    </row>
    <row r="95" spans="1:43" ht="14.65" thickBot="1" x14ac:dyDescent="0.5">
      <c r="A95" s="217" t="s">
        <v>40</v>
      </c>
      <c r="B95" s="265"/>
      <c r="C95" s="218"/>
      <c r="D95" s="218"/>
      <c r="E95" s="218"/>
      <c r="F95" s="218"/>
      <c r="G95" s="218"/>
      <c r="H95" s="218"/>
      <c r="I95" s="218"/>
      <c r="J95" s="218"/>
      <c r="K95" s="218"/>
      <c r="L95" s="86">
        <f t="shared" si="5"/>
        <v>0</v>
      </c>
      <c r="P95" s="22" t="s">
        <v>141</v>
      </c>
      <c r="Q95" s="108" t="s">
        <v>39</v>
      </c>
      <c r="R95" s="88">
        <v>13</v>
      </c>
      <c r="S95" s="91">
        <v>18</v>
      </c>
      <c r="T95" s="91">
        <v>23</v>
      </c>
      <c r="U95" s="91">
        <v>28</v>
      </c>
      <c r="V95" s="91">
        <v>3</v>
      </c>
      <c r="W95" s="206">
        <v>8</v>
      </c>
      <c r="X95" s="91">
        <v>14</v>
      </c>
      <c r="Y95" s="91">
        <v>18</v>
      </c>
      <c r="Z95" s="91">
        <v>23</v>
      </c>
      <c r="AA95" s="97" t="s">
        <v>24</v>
      </c>
      <c r="AF95" s="108" t="s">
        <v>39</v>
      </c>
      <c r="AG95" s="88">
        <v>13</v>
      </c>
      <c r="AH95" s="91">
        <v>18</v>
      </c>
      <c r="AI95" s="91">
        <v>23</v>
      </c>
      <c r="AJ95" s="91">
        <v>28</v>
      </c>
      <c r="AK95" s="91">
        <v>3</v>
      </c>
      <c r="AL95" s="206">
        <v>8</v>
      </c>
      <c r="AM95" s="91">
        <v>14</v>
      </c>
      <c r="AN95" s="91">
        <v>18</v>
      </c>
      <c r="AO95" s="91">
        <v>23</v>
      </c>
      <c r="AP95" s="97" t="s">
        <v>24</v>
      </c>
    </row>
    <row r="96" spans="1:43" ht="14.65" thickBot="1" x14ac:dyDescent="0.5">
      <c r="A96" s="217" t="s">
        <v>52</v>
      </c>
      <c r="B96" s="265"/>
      <c r="C96" s="218"/>
      <c r="D96" s="218"/>
      <c r="E96" s="218"/>
      <c r="F96" s="218"/>
      <c r="G96" s="218"/>
      <c r="H96" s="218"/>
      <c r="I96" s="218"/>
      <c r="J96" s="218"/>
      <c r="K96" s="218"/>
      <c r="L96" s="86">
        <f t="shared" si="5"/>
        <v>0</v>
      </c>
      <c r="P96" s="73">
        <v>1</v>
      </c>
      <c r="Q96" s="204" t="s">
        <v>1</v>
      </c>
      <c r="R96" s="86"/>
      <c r="S96" s="86"/>
      <c r="T96" s="86"/>
      <c r="U96" s="86"/>
      <c r="V96" s="86"/>
      <c r="W96" s="86">
        <v>3</v>
      </c>
      <c r="X96" s="86">
        <v>4</v>
      </c>
      <c r="Y96" s="86"/>
      <c r="Z96" s="86"/>
      <c r="AA96" s="86">
        <f t="shared" ref="AA96:AA113" si="6">SUM(R96:Z96)</f>
        <v>7</v>
      </c>
      <c r="AF96" s="237" t="s">
        <v>11</v>
      </c>
      <c r="AG96" s="86"/>
      <c r="AH96" s="86"/>
      <c r="AI96" s="86"/>
      <c r="AJ96" s="86"/>
      <c r="AK96" s="86"/>
      <c r="AL96" s="86">
        <v>4800</v>
      </c>
      <c r="AM96" s="86">
        <v>1600</v>
      </c>
      <c r="AN96" s="86">
        <v>320</v>
      </c>
      <c r="AO96" s="86">
        <v>1</v>
      </c>
      <c r="AP96" s="86">
        <f t="shared" ref="AP96:AP113" si="7">SUM(AG96:AO96)</f>
        <v>6721</v>
      </c>
    </row>
    <row r="97" spans="1:42" ht="14.65" thickBot="1" x14ac:dyDescent="0.5">
      <c r="A97" s="217" t="s">
        <v>53</v>
      </c>
      <c r="B97" s="265"/>
      <c r="C97" s="218"/>
      <c r="D97" s="218"/>
      <c r="E97" s="218"/>
      <c r="F97" s="218"/>
      <c r="G97" s="218"/>
      <c r="H97" s="218"/>
      <c r="I97" s="218">
        <v>1</v>
      </c>
      <c r="J97" s="218"/>
      <c r="K97" s="218"/>
      <c r="L97" s="86">
        <f t="shared" si="5"/>
        <v>1</v>
      </c>
      <c r="P97" s="73">
        <v>2</v>
      </c>
      <c r="Q97" s="205" t="s">
        <v>41</v>
      </c>
      <c r="R97" s="86"/>
      <c r="S97" s="86"/>
      <c r="T97" s="86"/>
      <c r="U97" s="86"/>
      <c r="V97" s="86">
        <v>5</v>
      </c>
      <c r="W97" s="86">
        <v>3</v>
      </c>
      <c r="X97" s="86"/>
      <c r="Y97" s="86"/>
      <c r="Z97" s="86"/>
      <c r="AA97" s="86">
        <f t="shared" si="6"/>
        <v>8</v>
      </c>
      <c r="AF97" s="242" t="s">
        <v>14</v>
      </c>
      <c r="AG97" s="180"/>
      <c r="AH97" s="180"/>
      <c r="AI97" s="180"/>
      <c r="AJ97" s="180"/>
      <c r="AK97" s="180">
        <v>6</v>
      </c>
      <c r="AL97" s="180">
        <v>1700</v>
      </c>
      <c r="AM97" s="180">
        <v>150</v>
      </c>
      <c r="AN97" s="180">
        <v>16</v>
      </c>
      <c r="AO97" s="180"/>
      <c r="AP97" s="86">
        <f t="shared" si="7"/>
        <v>1872</v>
      </c>
    </row>
    <row r="98" spans="1:42" ht="15" customHeight="1" thickBot="1" x14ac:dyDescent="0.5">
      <c r="A98" s="217" t="s">
        <v>15</v>
      </c>
      <c r="B98" s="265"/>
      <c r="C98" s="218"/>
      <c r="D98" s="218"/>
      <c r="E98" s="218"/>
      <c r="F98" s="218">
        <v>7</v>
      </c>
      <c r="G98" s="218">
        <v>60</v>
      </c>
      <c r="H98" s="218">
        <v>95</v>
      </c>
      <c r="I98" s="218">
        <v>54</v>
      </c>
      <c r="J98" s="218"/>
      <c r="K98" s="218">
        <v>1</v>
      </c>
      <c r="L98" s="86">
        <f t="shared" si="5"/>
        <v>217</v>
      </c>
      <c r="P98" s="73">
        <v>3</v>
      </c>
      <c r="Q98" s="205" t="s">
        <v>2</v>
      </c>
      <c r="R98" s="86"/>
      <c r="S98" s="86">
        <v>3</v>
      </c>
      <c r="T98" s="86">
        <v>16</v>
      </c>
      <c r="U98" s="86">
        <v>2</v>
      </c>
      <c r="V98" s="86">
        <v>3</v>
      </c>
      <c r="W98" s="86">
        <v>6</v>
      </c>
      <c r="X98" s="86">
        <v>8</v>
      </c>
      <c r="Y98" s="86"/>
      <c r="Z98" s="86"/>
      <c r="AA98" s="86">
        <f t="shared" si="6"/>
        <v>38</v>
      </c>
      <c r="AF98" s="242" t="s">
        <v>15</v>
      </c>
      <c r="AG98" s="180"/>
      <c r="AH98" s="180"/>
      <c r="AI98" s="180"/>
      <c r="AJ98" s="180"/>
      <c r="AK98" s="180">
        <v>7</v>
      </c>
      <c r="AL98" s="180">
        <v>60</v>
      </c>
      <c r="AM98" s="180">
        <v>54</v>
      </c>
      <c r="AN98" s="180"/>
      <c r="AO98" s="180">
        <v>1</v>
      </c>
      <c r="AP98" s="86">
        <f t="shared" si="7"/>
        <v>122</v>
      </c>
    </row>
    <row r="99" spans="1:42" ht="15" customHeight="1" thickBot="1" x14ac:dyDescent="0.5">
      <c r="A99" s="217" t="s">
        <v>54</v>
      </c>
      <c r="B99" s="265"/>
      <c r="C99" s="218"/>
      <c r="D99" s="218"/>
      <c r="E99" s="218"/>
      <c r="F99" s="218"/>
      <c r="G99" s="218"/>
      <c r="H99" s="218"/>
      <c r="I99" s="218"/>
      <c r="J99" s="218"/>
      <c r="K99" s="218"/>
      <c r="L99" s="86">
        <f t="shared" si="5"/>
        <v>0</v>
      </c>
      <c r="P99" s="73">
        <v>4</v>
      </c>
      <c r="Q99" s="205" t="s">
        <v>3</v>
      </c>
      <c r="R99" s="86"/>
      <c r="S99" s="86">
        <v>1</v>
      </c>
      <c r="T99" s="86">
        <v>1</v>
      </c>
      <c r="U99" s="86">
        <v>1</v>
      </c>
      <c r="V99" s="86"/>
      <c r="W99" s="86">
        <v>2</v>
      </c>
      <c r="X99" s="86">
        <v>2</v>
      </c>
      <c r="Y99" s="86">
        <v>2</v>
      </c>
      <c r="Z99" s="86">
        <v>3</v>
      </c>
      <c r="AA99" s="86">
        <f t="shared" si="6"/>
        <v>12</v>
      </c>
      <c r="AF99" s="238" t="s">
        <v>2</v>
      </c>
      <c r="AG99" s="86"/>
      <c r="AH99" s="86">
        <v>3</v>
      </c>
      <c r="AI99" s="86">
        <v>16</v>
      </c>
      <c r="AJ99" s="86">
        <v>2</v>
      </c>
      <c r="AK99" s="86">
        <v>3</v>
      </c>
      <c r="AL99" s="86">
        <v>6</v>
      </c>
      <c r="AM99" s="86">
        <v>8</v>
      </c>
      <c r="AN99" s="86"/>
      <c r="AO99" s="86"/>
      <c r="AP99" s="86">
        <f t="shared" si="7"/>
        <v>38</v>
      </c>
    </row>
    <row r="100" spans="1:42" ht="15.75" customHeight="1" thickBot="1" x14ac:dyDescent="0.5">
      <c r="A100" s="217" t="s">
        <v>47</v>
      </c>
      <c r="B100" s="265"/>
      <c r="C100" s="218"/>
      <c r="D100" s="218"/>
      <c r="E100" s="218"/>
      <c r="F100" s="218"/>
      <c r="G100" s="218"/>
      <c r="H100" s="218"/>
      <c r="I100" s="218"/>
      <c r="J100" s="218"/>
      <c r="K100" s="218"/>
      <c r="L100" s="86">
        <f t="shared" si="5"/>
        <v>0</v>
      </c>
      <c r="P100" s="73">
        <v>5</v>
      </c>
      <c r="Q100" s="205" t="s">
        <v>4</v>
      </c>
      <c r="R100" s="86"/>
      <c r="S100" s="86"/>
      <c r="T100" s="86"/>
      <c r="U100" s="86"/>
      <c r="V100" s="86"/>
      <c r="W100" s="86"/>
      <c r="X100" s="86">
        <v>1</v>
      </c>
      <c r="Y100" s="86">
        <v>2</v>
      </c>
      <c r="Z100" s="86">
        <v>3</v>
      </c>
      <c r="AA100" s="86">
        <f t="shared" si="6"/>
        <v>6</v>
      </c>
      <c r="AF100" s="242" t="s">
        <v>13</v>
      </c>
      <c r="AG100" s="180"/>
      <c r="AH100" s="180"/>
      <c r="AI100" s="180"/>
      <c r="AJ100" s="180"/>
      <c r="AK100" s="180"/>
      <c r="AL100" s="180"/>
      <c r="AM100" s="180">
        <v>5</v>
      </c>
      <c r="AN100" s="180">
        <v>20</v>
      </c>
      <c r="AO100" s="180">
        <v>1</v>
      </c>
      <c r="AP100" s="86">
        <f t="shared" si="7"/>
        <v>26</v>
      </c>
    </row>
    <row r="101" spans="1:42" ht="15" customHeight="1" thickBot="1" x14ac:dyDescent="0.5">
      <c r="A101" s="217" t="s">
        <v>16</v>
      </c>
      <c r="B101" s="265"/>
      <c r="C101" s="218"/>
      <c r="D101" s="218"/>
      <c r="E101" s="218">
        <v>2</v>
      </c>
      <c r="F101" s="218"/>
      <c r="G101" s="218"/>
      <c r="H101" s="218">
        <v>1</v>
      </c>
      <c r="I101" s="218">
        <v>2</v>
      </c>
      <c r="J101" s="218">
        <v>2</v>
      </c>
      <c r="K101" s="218">
        <v>1</v>
      </c>
      <c r="L101" s="86">
        <f t="shared" si="5"/>
        <v>8</v>
      </c>
      <c r="P101" s="73">
        <v>6</v>
      </c>
      <c r="Q101" s="205" t="s">
        <v>7</v>
      </c>
      <c r="R101" s="86"/>
      <c r="S101" s="86"/>
      <c r="T101" s="86"/>
      <c r="U101" s="86">
        <v>2</v>
      </c>
      <c r="V101" s="86">
        <v>1</v>
      </c>
      <c r="W101" s="86">
        <v>3</v>
      </c>
      <c r="X101" s="86">
        <v>6</v>
      </c>
      <c r="Y101" s="86">
        <v>6</v>
      </c>
      <c r="Z101" s="86"/>
      <c r="AA101" s="86">
        <f t="shared" si="6"/>
        <v>18</v>
      </c>
      <c r="AF101" s="238" t="s">
        <v>32</v>
      </c>
      <c r="AG101" s="86"/>
      <c r="AH101" s="86"/>
      <c r="AI101" s="86"/>
      <c r="AJ101" s="86"/>
      <c r="AK101" s="86"/>
      <c r="AL101" s="86"/>
      <c r="AM101" s="86">
        <v>20</v>
      </c>
      <c r="AN101" s="86"/>
      <c r="AO101" s="86">
        <v>1</v>
      </c>
      <c r="AP101" s="86">
        <f t="shared" si="7"/>
        <v>21</v>
      </c>
    </row>
    <row r="102" spans="1:42" ht="15" customHeight="1" thickBot="1" x14ac:dyDescent="0.5">
      <c r="A102" s="217" t="s">
        <v>17</v>
      </c>
      <c r="B102" s="266"/>
      <c r="C102" s="218"/>
      <c r="D102" s="218"/>
      <c r="E102" s="218"/>
      <c r="F102" s="218"/>
      <c r="G102" s="218"/>
      <c r="H102" s="218"/>
      <c r="I102" s="218"/>
      <c r="J102" s="218"/>
      <c r="K102" s="218"/>
      <c r="L102" s="86">
        <f t="shared" si="5"/>
        <v>0</v>
      </c>
      <c r="N102" s="140"/>
      <c r="P102" s="73">
        <v>7</v>
      </c>
      <c r="Q102" s="205" t="s">
        <v>51</v>
      </c>
      <c r="R102" s="86"/>
      <c r="S102" s="86"/>
      <c r="T102" s="86"/>
      <c r="U102" s="86"/>
      <c r="V102" s="86">
        <v>1</v>
      </c>
      <c r="W102" s="86">
        <v>4</v>
      </c>
      <c r="X102" s="86">
        <v>1</v>
      </c>
      <c r="Y102" s="86"/>
      <c r="Z102" s="86"/>
      <c r="AA102" s="86">
        <f t="shared" si="6"/>
        <v>6</v>
      </c>
      <c r="AF102" s="238" t="s">
        <v>7</v>
      </c>
      <c r="AG102" s="86"/>
      <c r="AH102" s="86"/>
      <c r="AI102" s="86"/>
      <c r="AJ102" s="86">
        <v>2</v>
      </c>
      <c r="AK102" s="86">
        <v>1</v>
      </c>
      <c r="AL102" s="86">
        <v>3</v>
      </c>
      <c r="AM102" s="86">
        <v>6</v>
      </c>
      <c r="AN102" s="86">
        <v>6</v>
      </c>
      <c r="AO102" s="86"/>
      <c r="AP102" s="86">
        <f t="shared" si="7"/>
        <v>18</v>
      </c>
    </row>
    <row r="103" spans="1:42" ht="15" customHeight="1" x14ac:dyDescent="0.45">
      <c r="A103" s="202"/>
      <c r="B103" s="203">
        <v>0</v>
      </c>
      <c r="C103" s="221">
        <f>SUM(C74:C102)</f>
        <v>4</v>
      </c>
      <c r="D103" s="221">
        <f>SUM(D70:D102)</f>
        <v>17</v>
      </c>
      <c r="E103" s="221">
        <f>SUM(E74:E102)</f>
        <v>7</v>
      </c>
      <c r="F103" s="221">
        <f t="shared" ref="F103:K103" si="8">SUM(F70:F102)</f>
        <v>24</v>
      </c>
      <c r="G103" s="221">
        <f t="shared" si="8"/>
        <v>6583</v>
      </c>
      <c r="H103" s="221">
        <f t="shared" si="8"/>
        <v>382</v>
      </c>
      <c r="I103" s="221">
        <f t="shared" si="8"/>
        <v>1861</v>
      </c>
      <c r="J103" s="221">
        <f t="shared" si="8"/>
        <v>368</v>
      </c>
      <c r="K103" s="221">
        <f t="shared" si="8"/>
        <v>11</v>
      </c>
      <c r="L103" s="224">
        <f>SUM(B103:K103)</f>
        <v>9257</v>
      </c>
      <c r="P103" s="73">
        <v>8</v>
      </c>
      <c r="Q103" s="205" t="s">
        <v>42</v>
      </c>
      <c r="R103" s="86"/>
      <c r="S103" s="86"/>
      <c r="T103" s="86"/>
      <c r="U103" s="86"/>
      <c r="V103" s="86"/>
      <c r="W103" s="86"/>
      <c r="X103" s="86">
        <v>4</v>
      </c>
      <c r="Y103" s="86"/>
      <c r="Z103" s="86"/>
      <c r="AA103" s="86">
        <f t="shared" si="6"/>
        <v>4</v>
      </c>
      <c r="AF103" s="238" t="s">
        <v>3</v>
      </c>
      <c r="AG103" s="86"/>
      <c r="AH103" s="86">
        <v>1</v>
      </c>
      <c r="AI103" s="86">
        <v>1</v>
      </c>
      <c r="AJ103" s="86">
        <v>1</v>
      </c>
      <c r="AK103" s="86"/>
      <c r="AL103" s="86">
        <v>2</v>
      </c>
      <c r="AM103" s="86">
        <v>2</v>
      </c>
      <c r="AN103" s="86">
        <v>2</v>
      </c>
      <c r="AO103" s="86">
        <v>3</v>
      </c>
      <c r="AP103" s="86">
        <f t="shared" si="7"/>
        <v>12</v>
      </c>
    </row>
    <row r="104" spans="1:42" ht="15" customHeight="1" x14ac:dyDescent="0.45">
      <c r="A104" s="1" t="s">
        <v>246</v>
      </c>
      <c r="B104" s="73"/>
      <c r="C104" s="73"/>
      <c r="D104" s="180"/>
      <c r="E104" s="180"/>
      <c r="F104" s="180"/>
      <c r="G104" s="180"/>
      <c r="H104" s="180"/>
      <c r="I104" s="180"/>
      <c r="J104" s="182"/>
      <c r="K104" s="180"/>
      <c r="L104" s="94"/>
      <c r="M104" s="94"/>
      <c r="P104" s="73">
        <v>9</v>
      </c>
      <c r="Q104" s="205" t="s">
        <v>11</v>
      </c>
      <c r="R104" s="86"/>
      <c r="S104" s="86"/>
      <c r="T104" s="86"/>
      <c r="U104" s="86"/>
      <c r="V104" s="86"/>
      <c r="W104" s="86">
        <v>4800</v>
      </c>
      <c r="X104" s="86">
        <v>1600</v>
      </c>
      <c r="Y104" s="86">
        <v>320</v>
      </c>
      <c r="Z104" s="86">
        <v>1</v>
      </c>
      <c r="AA104" s="86">
        <f t="shared" si="6"/>
        <v>6721</v>
      </c>
      <c r="AF104" s="238" t="s">
        <v>41</v>
      </c>
      <c r="AG104" s="86"/>
      <c r="AH104" s="86"/>
      <c r="AI104" s="86"/>
      <c r="AJ104" s="86"/>
      <c r="AK104" s="86">
        <v>5</v>
      </c>
      <c r="AL104" s="86">
        <v>3</v>
      </c>
      <c r="AM104" s="86"/>
      <c r="AN104" s="86"/>
      <c r="AO104" s="86"/>
      <c r="AP104" s="86">
        <f t="shared" si="7"/>
        <v>8</v>
      </c>
    </row>
    <row r="105" spans="1:42" ht="15" customHeight="1" x14ac:dyDescent="0.45">
      <c r="A105" s="181" t="s">
        <v>207</v>
      </c>
      <c r="B105" s="73"/>
      <c r="C105" s="73"/>
      <c r="D105" s="180"/>
      <c r="E105" s="180"/>
      <c r="F105" s="180"/>
      <c r="G105" s="180"/>
      <c r="H105" s="180"/>
      <c r="I105" s="180"/>
      <c r="J105" s="180"/>
      <c r="K105" s="180"/>
      <c r="L105" s="180"/>
      <c r="M105" s="180"/>
      <c r="P105" s="73">
        <v>10</v>
      </c>
      <c r="Q105" s="205" t="s">
        <v>12</v>
      </c>
      <c r="R105" s="86"/>
      <c r="S105" s="86"/>
      <c r="T105" s="86"/>
      <c r="U105" s="86"/>
      <c r="V105" s="86"/>
      <c r="W105" s="86">
        <v>2</v>
      </c>
      <c r="X105" s="86">
        <v>2</v>
      </c>
      <c r="Y105" s="86"/>
      <c r="Z105" s="86"/>
      <c r="AA105" s="86">
        <f t="shared" si="6"/>
        <v>4</v>
      </c>
      <c r="AF105" s="238" t="s">
        <v>1</v>
      </c>
      <c r="AG105" s="86"/>
      <c r="AH105" s="86"/>
      <c r="AI105" s="86"/>
      <c r="AJ105" s="86"/>
      <c r="AK105" s="86"/>
      <c r="AL105" s="86">
        <v>3</v>
      </c>
      <c r="AM105" s="86">
        <v>4</v>
      </c>
      <c r="AN105" s="86"/>
      <c r="AO105" s="86"/>
      <c r="AP105" s="86">
        <f t="shared" si="7"/>
        <v>7</v>
      </c>
    </row>
    <row r="106" spans="1:42" ht="15" customHeight="1" x14ac:dyDescent="0.45">
      <c r="A106" s="181" t="s">
        <v>171</v>
      </c>
      <c r="B106" s="73"/>
      <c r="C106" s="73"/>
      <c r="D106" s="180"/>
      <c r="E106" s="180"/>
      <c r="F106" s="180"/>
      <c r="G106" s="180"/>
      <c r="H106" s="180"/>
      <c r="I106" s="180"/>
      <c r="J106" s="180"/>
      <c r="K106" s="180"/>
      <c r="L106" s="180"/>
      <c r="M106" s="180"/>
      <c r="P106" s="73">
        <v>11</v>
      </c>
      <c r="Q106" s="205" t="s">
        <v>32</v>
      </c>
      <c r="R106" s="86"/>
      <c r="S106" s="86"/>
      <c r="T106" s="86"/>
      <c r="U106" s="86"/>
      <c r="V106" s="86"/>
      <c r="W106" s="86"/>
      <c r="X106" s="86">
        <v>20</v>
      </c>
      <c r="Y106" s="86"/>
      <c r="Z106" s="86">
        <v>1</v>
      </c>
      <c r="AA106" s="86">
        <f t="shared" si="6"/>
        <v>21</v>
      </c>
      <c r="AB106" s="86"/>
      <c r="AD106" s="180"/>
      <c r="AF106" s="242" t="s">
        <v>16</v>
      </c>
      <c r="AG106" s="180"/>
      <c r="AH106" s="180"/>
      <c r="AI106" s="180"/>
      <c r="AJ106" s="180">
        <v>2</v>
      </c>
      <c r="AK106" s="180"/>
      <c r="AL106" s="180"/>
      <c r="AM106" s="180">
        <v>2</v>
      </c>
      <c r="AN106" s="180">
        <v>2</v>
      </c>
      <c r="AO106" s="180">
        <v>1</v>
      </c>
      <c r="AP106" s="86">
        <f t="shared" si="7"/>
        <v>7</v>
      </c>
    </row>
    <row r="107" spans="1:42" ht="15" customHeight="1" x14ac:dyDescent="0.45">
      <c r="A107" s="181" t="s">
        <v>172</v>
      </c>
      <c r="B107" s="73"/>
      <c r="C107" s="73"/>
      <c r="D107" s="180"/>
      <c r="E107" s="180"/>
      <c r="F107" s="180"/>
      <c r="G107" s="180"/>
      <c r="H107" s="180"/>
      <c r="I107" s="180"/>
      <c r="J107" s="180"/>
      <c r="K107" s="180"/>
      <c r="L107" s="180"/>
      <c r="M107" s="180"/>
      <c r="P107" s="73"/>
      <c r="Q107" s="87" t="s">
        <v>146</v>
      </c>
      <c r="R107" s="180"/>
      <c r="S107" s="180"/>
      <c r="T107" s="180"/>
      <c r="U107" s="180"/>
      <c r="V107" s="180">
        <v>1</v>
      </c>
      <c r="W107" s="180"/>
      <c r="X107" s="180"/>
      <c r="Y107" s="180"/>
      <c r="Z107" s="180"/>
      <c r="AA107" s="86">
        <f t="shared" si="6"/>
        <v>1</v>
      </c>
      <c r="AB107" s="86"/>
      <c r="AD107" s="180"/>
      <c r="AF107" s="243" t="s">
        <v>4</v>
      </c>
      <c r="AG107" s="86"/>
      <c r="AH107" s="86"/>
      <c r="AI107" s="86"/>
      <c r="AJ107" s="86"/>
      <c r="AK107" s="86"/>
      <c r="AL107" s="86"/>
      <c r="AM107" s="86">
        <v>1</v>
      </c>
      <c r="AN107" s="86">
        <v>2</v>
      </c>
      <c r="AO107" s="86">
        <v>3</v>
      </c>
      <c r="AP107" s="86">
        <f t="shared" si="7"/>
        <v>6</v>
      </c>
    </row>
    <row r="108" spans="1:42" ht="15" customHeight="1" x14ac:dyDescent="0.45">
      <c r="B108" s="73"/>
      <c r="C108" s="73"/>
      <c r="D108" s="180"/>
      <c r="E108" s="180"/>
      <c r="F108" s="180"/>
      <c r="G108" s="180"/>
      <c r="H108" s="180"/>
      <c r="I108" s="180"/>
      <c r="J108" s="180"/>
      <c r="K108" s="180"/>
      <c r="L108" s="180"/>
      <c r="M108" s="180"/>
      <c r="P108" s="73">
        <v>12</v>
      </c>
      <c r="Q108" s="87" t="s">
        <v>46</v>
      </c>
      <c r="R108" s="180"/>
      <c r="S108" s="180"/>
      <c r="T108" s="180"/>
      <c r="U108" s="180"/>
      <c r="V108" s="180"/>
      <c r="W108" s="180"/>
      <c r="X108" s="180">
        <v>1</v>
      </c>
      <c r="Y108" s="180"/>
      <c r="Z108" s="180"/>
      <c r="AA108" s="86">
        <f t="shared" si="6"/>
        <v>1</v>
      </c>
      <c r="AB108" s="86"/>
      <c r="AD108" s="180"/>
      <c r="AF108" s="243" t="s">
        <v>51</v>
      </c>
      <c r="AG108" s="86"/>
      <c r="AH108" s="86"/>
      <c r="AI108" s="86"/>
      <c r="AJ108" s="86"/>
      <c r="AK108" s="86">
        <v>1</v>
      </c>
      <c r="AL108" s="86">
        <v>4</v>
      </c>
      <c r="AM108" s="86">
        <v>1</v>
      </c>
      <c r="AN108" s="86"/>
      <c r="AO108" s="86"/>
      <c r="AP108" s="86">
        <f t="shared" si="7"/>
        <v>6</v>
      </c>
    </row>
    <row r="109" spans="1:42" ht="15" customHeight="1" x14ac:dyDescent="0.45">
      <c r="B109" s="73"/>
      <c r="C109" s="73"/>
      <c r="D109" s="73"/>
      <c r="E109" s="73"/>
      <c r="F109" s="1"/>
      <c r="G109" s="1"/>
      <c r="H109" s="1"/>
      <c r="I109" s="180"/>
      <c r="J109" s="180"/>
      <c r="K109" s="180"/>
      <c r="L109" s="180"/>
      <c r="M109" s="180"/>
      <c r="P109" s="73">
        <v>13</v>
      </c>
      <c r="Q109" s="87" t="s">
        <v>13</v>
      </c>
      <c r="R109" s="180"/>
      <c r="S109" s="180"/>
      <c r="T109" s="180"/>
      <c r="U109" s="180"/>
      <c r="V109" s="180"/>
      <c r="W109" s="180"/>
      <c r="X109" s="180">
        <v>5</v>
      </c>
      <c r="Y109" s="180">
        <v>20</v>
      </c>
      <c r="Z109" s="180">
        <v>1</v>
      </c>
      <c r="AA109" s="86">
        <f t="shared" si="6"/>
        <v>26</v>
      </c>
      <c r="AD109" s="180"/>
      <c r="AF109" s="243" t="s">
        <v>42</v>
      </c>
      <c r="AG109" s="86"/>
      <c r="AH109" s="86"/>
      <c r="AI109" s="86"/>
      <c r="AJ109" s="86"/>
      <c r="AK109" s="86"/>
      <c r="AL109" s="86"/>
      <c r="AM109" s="86">
        <v>4</v>
      </c>
      <c r="AN109" s="86"/>
      <c r="AO109" s="86"/>
      <c r="AP109" s="86">
        <f t="shared" si="7"/>
        <v>4</v>
      </c>
    </row>
    <row r="110" spans="1:42" ht="15" customHeight="1" x14ac:dyDescent="0.45">
      <c r="B110" s="73"/>
      <c r="C110" s="73"/>
      <c r="D110" s="73"/>
      <c r="E110" s="73"/>
      <c r="F110" s="1"/>
      <c r="G110" s="1"/>
      <c r="H110" s="1"/>
      <c r="I110" s="180"/>
      <c r="J110" s="180"/>
      <c r="K110" s="180"/>
      <c r="L110" s="180"/>
      <c r="M110" s="180"/>
      <c r="P110" s="73">
        <v>14</v>
      </c>
      <c r="Q110" s="87" t="s">
        <v>14</v>
      </c>
      <c r="R110" s="180"/>
      <c r="S110" s="180"/>
      <c r="T110" s="180"/>
      <c r="U110" s="180"/>
      <c r="V110" s="180">
        <v>6</v>
      </c>
      <c r="W110" s="180">
        <v>1700</v>
      </c>
      <c r="X110" s="180">
        <v>150</v>
      </c>
      <c r="Y110" s="180">
        <v>16</v>
      </c>
      <c r="Z110" s="180"/>
      <c r="AA110" s="86">
        <f t="shared" si="6"/>
        <v>1872</v>
      </c>
      <c r="AB110" s="180"/>
      <c r="AD110" s="180"/>
      <c r="AF110" s="243" t="s">
        <v>12</v>
      </c>
      <c r="AG110" s="86"/>
      <c r="AH110" s="86"/>
      <c r="AI110" s="86"/>
      <c r="AJ110" s="86"/>
      <c r="AK110" s="86"/>
      <c r="AL110" s="86">
        <v>2</v>
      </c>
      <c r="AM110" s="86">
        <v>2</v>
      </c>
      <c r="AN110" s="86"/>
      <c r="AO110" s="86"/>
      <c r="AP110" s="86">
        <f t="shared" si="7"/>
        <v>4</v>
      </c>
    </row>
    <row r="111" spans="1:42" ht="15" customHeight="1" x14ac:dyDescent="0.45">
      <c r="B111" s="73"/>
      <c r="C111" s="73"/>
      <c r="D111" s="73"/>
      <c r="E111" s="73"/>
      <c r="F111" s="1"/>
      <c r="G111" s="1"/>
      <c r="H111" s="1"/>
      <c r="I111" s="180"/>
      <c r="J111" s="180"/>
      <c r="K111" s="180"/>
      <c r="L111" s="180"/>
      <c r="M111" s="180"/>
      <c r="P111" s="73">
        <v>15</v>
      </c>
      <c r="Q111" s="87" t="s">
        <v>53</v>
      </c>
      <c r="R111" s="180"/>
      <c r="S111" s="180"/>
      <c r="T111" s="180"/>
      <c r="U111" s="180"/>
      <c r="V111" s="180"/>
      <c r="W111" s="180"/>
      <c r="X111" s="180">
        <v>1</v>
      </c>
      <c r="Y111" s="180"/>
      <c r="Z111" s="180"/>
      <c r="AA111" s="86">
        <f t="shared" si="6"/>
        <v>1</v>
      </c>
      <c r="AF111" s="239" t="s">
        <v>146</v>
      </c>
      <c r="AG111" s="180"/>
      <c r="AH111" s="180"/>
      <c r="AI111" s="180"/>
      <c r="AJ111" s="180"/>
      <c r="AK111" s="180">
        <v>1</v>
      </c>
      <c r="AL111" s="180"/>
      <c r="AM111" s="180"/>
      <c r="AN111" s="180"/>
      <c r="AO111" s="180"/>
      <c r="AP111" s="86">
        <f t="shared" si="7"/>
        <v>1</v>
      </c>
    </row>
    <row r="112" spans="1:42" ht="15" customHeight="1" x14ac:dyDescent="0.45">
      <c r="B112" s="73"/>
      <c r="C112" s="73"/>
      <c r="D112" s="73"/>
      <c r="E112" s="73"/>
      <c r="F112" s="1"/>
      <c r="G112" s="1"/>
      <c r="H112" s="1"/>
      <c r="I112" s="180"/>
      <c r="J112" s="180"/>
      <c r="K112" s="180"/>
      <c r="L112" s="180"/>
      <c r="M112" s="180"/>
      <c r="P112" s="73">
        <v>16</v>
      </c>
      <c r="Q112" s="87" t="s">
        <v>15</v>
      </c>
      <c r="R112" s="180"/>
      <c r="S112" s="180"/>
      <c r="T112" s="180"/>
      <c r="U112" s="180"/>
      <c r="V112" s="180">
        <v>7</v>
      </c>
      <c r="W112" s="180">
        <v>60</v>
      </c>
      <c r="X112" s="180">
        <v>54</v>
      </c>
      <c r="Y112" s="180"/>
      <c r="Z112" s="180">
        <v>1</v>
      </c>
      <c r="AA112" s="86">
        <f t="shared" si="6"/>
        <v>122</v>
      </c>
      <c r="AF112" s="239" t="s">
        <v>46</v>
      </c>
      <c r="AG112" s="180"/>
      <c r="AH112" s="180"/>
      <c r="AI112" s="180"/>
      <c r="AJ112" s="180"/>
      <c r="AK112" s="180"/>
      <c r="AL112" s="180"/>
      <c r="AM112" s="180">
        <v>1</v>
      </c>
      <c r="AN112" s="180"/>
      <c r="AO112" s="180"/>
      <c r="AP112" s="86">
        <f t="shared" si="7"/>
        <v>1</v>
      </c>
    </row>
    <row r="113" spans="1:42" ht="15" customHeight="1" x14ac:dyDescent="0.45">
      <c r="B113" s="73"/>
      <c r="C113" s="73"/>
      <c r="D113" s="73"/>
      <c r="E113" s="73"/>
      <c r="F113" s="1"/>
      <c r="G113" s="1"/>
      <c r="H113" s="1"/>
      <c r="I113" s="180"/>
      <c r="J113" s="180"/>
      <c r="K113" s="180"/>
      <c r="L113" s="180"/>
      <c r="M113" s="180"/>
      <c r="P113" s="73">
        <v>17</v>
      </c>
      <c r="Q113" s="87" t="s">
        <v>16</v>
      </c>
      <c r="R113" s="180"/>
      <c r="S113" s="180"/>
      <c r="T113" s="180"/>
      <c r="U113" s="180">
        <v>2</v>
      </c>
      <c r="V113" s="180"/>
      <c r="W113" s="180"/>
      <c r="X113" s="180">
        <v>2</v>
      </c>
      <c r="Y113" s="180">
        <v>2</v>
      </c>
      <c r="Z113" s="180">
        <v>1</v>
      </c>
      <c r="AA113" s="86">
        <f t="shared" si="6"/>
        <v>7</v>
      </c>
      <c r="AF113" s="239" t="s">
        <v>53</v>
      </c>
      <c r="AG113" s="180"/>
      <c r="AH113" s="180"/>
      <c r="AI113" s="180"/>
      <c r="AJ113" s="180"/>
      <c r="AK113" s="180"/>
      <c r="AL113" s="180"/>
      <c r="AM113" s="180">
        <v>1</v>
      </c>
      <c r="AN113" s="180"/>
      <c r="AO113" s="180"/>
      <c r="AP113" s="86">
        <f t="shared" si="7"/>
        <v>1</v>
      </c>
    </row>
    <row r="114" spans="1:42" ht="15" customHeight="1" x14ac:dyDescent="0.45">
      <c r="B114" s="73"/>
      <c r="C114" s="73"/>
      <c r="D114" s="73"/>
      <c r="E114" s="73"/>
      <c r="F114" s="1"/>
      <c r="G114" s="1"/>
      <c r="H114" s="1"/>
      <c r="I114" s="180"/>
      <c r="J114" s="180"/>
      <c r="K114" s="180"/>
      <c r="L114" s="180"/>
      <c r="M114" s="180"/>
      <c r="P114" s="73"/>
      <c r="Q114" s="170" t="s">
        <v>24</v>
      </c>
      <c r="R114" s="225">
        <v>0</v>
      </c>
      <c r="S114" s="226">
        <v>4</v>
      </c>
      <c r="T114" s="226">
        <v>17</v>
      </c>
      <c r="U114" s="226">
        <v>7</v>
      </c>
      <c r="V114" s="226">
        <v>24</v>
      </c>
      <c r="W114" s="226">
        <v>6583</v>
      </c>
      <c r="X114" s="226">
        <v>1861</v>
      </c>
      <c r="Y114" s="226">
        <v>368</v>
      </c>
      <c r="Z114" s="226">
        <v>11</v>
      </c>
      <c r="AA114" s="227">
        <f>SUM(AA96:AA113)</f>
        <v>8875</v>
      </c>
      <c r="AF114" s="170" t="s">
        <v>24</v>
      </c>
      <c r="AG114" s="225">
        <v>0</v>
      </c>
      <c r="AH114" s="226">
        <v>4</v>
      </c>
      <c r="AI114" s="226">
        <v>17</v>
      </c>
      <c r="AJ114" s="226">
        <v>7</v>
      </c>
      <c r="AK114" s="226">
        <v>24</v>
      </c>
      <c r="AL114" s="226">
        <v>6583</v>
      </c>
      <c r="AM114" s="226">
        <v>1861</v>
      </c>
      <c r="AN114" s="226">
        <v>368</v>
      </c>
      <c r="AO114" s="226">
        <v>11</v>
      </c>
      <c r="AP114" s="227">
        <f>SUM(AP96:AP113)</f>
        <v>8875</v>
      </c>
    </row>
    <row r="115" spans="1:42" ht="15" customHeight="1" x14ac:dyDescent="0.45"/>
    <row r="116" spans="1:42" ht="15" customHeight="1" x14ac:dyDescent="0.45"/>
    <row r="117" spans="1:42" ht="15" customHeight="1" x14ac:dyDescent="0.45"/>
    <row r="118" spans="1:42" ht="15" customHeight="1" x14ac:dyDescent="0.45"/>
    <row r="119" spans="1:42" ht="15" customHeight="1" x14ac:dyDescent="0.45"/>
    <row r="120" spans="1:42" ht="15" customHeight="1" x14ac:dyDescent="0.45">
      <c r="P120" s="2"/>
      <c r="Q120" s="2"/>
      <c r="R120" s="2"/>
      <c r="S120" s="2"/>
      <c r="T120" s="2"/>
      <c r="U120" s="2"/>
      <c r="V120" s="2"/>
      <c r="W120" s="2"/>
      <c r="X120" s="2"/>
      <c r="Y120" s="2"/>
      <c r="Z120" s="2"/>
      <c r="AA120" s="2"/>
      <c r="AB120" s="1"/>
    </row>
    <row r="121" spans="1:42" ht="15" customHeight="1" x14ac:dyDescent="0.45"/>
    <row r="122" spans="1:42" ht="15" customHeight="1" x14ac:dyDescent="0.45"/>
    <row r="123" spans="1:42" ht="15" customHeight="1" x14ac:dyDescent="0.45"/>
    <row r="124" spans="1:42" ht="15" customHeight="1" x14ac:dyDescent="0.45"/>
    <row r="125" spans="1:42" x14ac:dyDescent="0.45">
      <c r="A125" s="2"/>
      <c r="B125" s="73"/>
      <c r="C125" s="73"/>
      <c r="D125" s="2"/>
      <c r="E125" s="2"/>
      <c r="F125" s="2"/>
      <c r="G125" s="2"/>
      <c r="H125" s="2"/>
      <c r="I125" s="2"/>
      <c r="J125" s="2"/>
      <c r="K125" s="2"/>
    </row>
    <row r="126" spans="1:42" x14ac:dyDescent="0.45">
      <c r="A126" s="111"/>
      <c r="B126" s="73"/>
      <c r="C126" s="73"/>
      <c r="D126" s="2"/>
      <c r="E126" s="2"/>
      <c r="F126" s="2"/>
      <c r="G126" s="2"/>
      <c r="H126" s="2"/>
      <c r="I126" s="2"/>
      <c r="J126" s="2"/>
      <c r="K126" s="2"/>
    </row>
    <row r="127" spans="1:42" x14ac:dyDescent="0.45">
      <c r="A127" s="2"/>
      <c r="B127" s="73"/>
      <c r="C127" s="73"/>
      <c r="D127" s="2"/>
      <c r="E127" s="2"/>
      <c r="F127" s="2"/>
      <c r="G127" s="2"/>
      <c r="H127" s="2"/>
      <c r="I127" s="2"/>
      <c r="J127" s="2"/>
      <c r="K127" s="2"/>
    </row>
    <row r="128" spans="1:42" x14ac:dyDescent="0.45">
      <c r="A128" s="1"/>
      <c r="B128" s="73"/>
      <c r="C128" s="73"/>
      <c r="D128" s="2"/>
      <c r="E128" s="2"/>
      <c r="F128" s="2"/>
      <c r="G128" s="2"/>
      <c r="H128" s="2"/>
      <c r="I128" s="2"/>
      <c r="J128" s="2"/>
      <c r="K128" s="2"/>
    </row>
    <row r="129" spans="1:11" x14ac:dyDescent="0.45">
      <c r="A129" s="113"/>
      <c r="B129" s="73"/>
      <c r="C129" s="73"/>
      <c r="D129" s="2"/>
      <c r="E129" s="2"/>
      <c r="F129" s="2"/>
      <c r="G129" s="2"/>
      <c r="H129" s="2"/>
      <c r="I129" s="2"/>
      <c r="J129" s="2"/>
      <c r="K129" s="2"/>
    </row>
    <row r="130" spans="1:11" x14ac:dyDescent="0.45">
      <c r="B130" s="73"/>
      <c r="C130" s="73"/>
      <c r="D130" s="2"/>
      <c r="E130" s="2"/>
      <c r="F130" s="2"/>
      <c r="G130" s="2"/>
      <c r="H130" s="2"/>
      <c r="I130" s="2"/>
      <c r="J130" s="2"/>
      <c r="K130" s="2"/>
    </row>
    <row r="131" spans="1:11" x14ac:dyDescent="0.45">
      <c r="B131" s="73"/>
      <c r="C131" s="73"/>
      <c r="D131" s="2"/>
      <c r="E131" s="2"/>
      <c r="F131" s="2"/>
      <c r="G131" s="2"/>
      <c r="H131" s="2"/>
      <c r="I131" s="2"/>
      <c r="J131" s="2"/>
      <c r="K131" s="2"/>
    </row>
    <row r="132" spans="1:11" x14ac:dyDescent="0.45">
      <c r="B132" s="73"/>
      <c r="C132" s="73"/>
      <c r="D132" s="2"/>
      <c r="E132" s="2"/>
      <c r="F132" s="2"/>
      <c r="G132" s="2"/>
      <c r="H132" s="2"/>
      <c r="I132" s="2"/>
      <c r="J132" s="2"/>
      <c r="K132" s="2"/>
    </row>
  </sheetData>
  <sortState xmlns:xlrd2="http://schemas.microsoft.com/office/spreadsheetml/2017/richdata2" ref="AF96:AP113">
    <sortCondition descending="1" ref="AP96:AP113"/>
  </sortState>
  <mergeCells count="14">
    <mergeCell ref="I66:I67"/>
    <mergeCell ref="J66:J67"/>
    <mergeCell ref="K66:K67"/>
    <mergeCell ref="B70:B102"/>
    <mergeCell ref="A64:K64"/>
    <mergeCell ref="A65:K65"/>
    <mergeCell ref="A66:A67"/>
    <mergeCell ref="B66:B67"/>
    <mergeCell ref="C66:C67"/>
    <mergeCell ref="D66:D67"/>
    <mergeCell ref="E66:E67"/>
    <mergeCell ref="F66:F67"/>
    <mergeCell ref="G66:G67"/>
    <mergeCell ref="H66:H67"/>
  </mergeCells>
  <pageMargins left="0.7" right="0.7" top="0.75" bottom="0.75" header="0.3" footer="0.3"/>
  <pageSetup orientation="portrait" verticalDpi="0" r:id="rId1"/>
  <ignoredErrors>
    <ignoredError sqref="B51:J51"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Z2741"/>
  <sheetViews>
    <sheetView zoomScale="110" zoomScaleNormal="110" workbookViewId="0"/>
  </sheetViews>
  <sheetFormatPr defaultRowHeight="14.25" x14ac:dyDescent="0.45"/>
  <cols>
    <col min="1" max="1" width="32.73046875" customWidth="1"/>
    <col min="2" max="2" width="12.59765625" style="2" customWidth="1"/>
    <col min="3" max="3" width="12.59765625" customWidth="1"/>
    <col min="4" max="4" width="40.59765625" customWidth="1"/>
    <col min="5" max="6" width="12.59765625" customWidth="1"/>
    <col min="7" max="7" width="8.59765625" customWidth="1"/>
    <col min="8" max="8" width="40.59765625" customWidth="1"/>
    <col min="9" max="9" width="20.73046875" customWidth="1"/>
    <col min="10" max="10" width="24.73046875" customWidth="1"/>
    <col min="11" max="14" width="12.73046875" customWidth="1"/>
    <col min="15" max="44" width="9.1328125" customWidth="1"/>
    <col min="45" max="45" width="23.1328125" customWidth="1"/>
    <col min="46" max="59" width="9.1328125" customWidth="1"/>
    <col min="60" max="60" width="30.73046875" customWidth="1"/>
    <col min="61" max="67" width="9.1328125" customWidth="1"/>
    <col min="68" max="75" width="7.73046875" customWidth="1"/>
    <col min="76" max="76" width="9.59765625" bestFit="1" customWidth="1"/>
    <col min="77" max="79" width="9.73046875" bestFit="1" customWidth="1"/>
    <col min="80" max="80" width="9" customWidth="1"/>
    <col min="81" max="81" width="10.265625" bestFit="1" customWidth="1"/>
    <col min="82" max="82" width="10" bestFit="1" customWidth="1"/>
    <col min="83" max="83" width="10.1328125" bestFit="1" customWidth="1"/>
    <col min="84" max="84" width="10.265625" bestFit="1" customWidth="1"/>
    <col min="85" max="88" width="10.1328125" bestFit="1" customWidth="1"/>
    <col min="89" max="89" width="11.265625" bestFit="1" customWidth="1"/>
    <col min="90" max="92" width="11.73046875" bestFit="1" customWidth="1"/>
    <col min="93" max="94" width="12.73046875" bestFit="1" customWidth="1"/>
    <col min="95" max="96" width="11.73046875" bestFit="1" customWidth="1"/>
    <col min="97" max="97" width="9.86328125" bestFit="1" customWidth="1"/>
    <col min="98" max="100" width="11.73046875" bestFit="1" customWidth="1"/>
    <col min="101" max="101" width="10.1328125" bestFit="1" customWidth="1"/>
    <col min="102" max="102" width="11.1328125" bestFit="1" customWidth="1"/>
    <col min="103" max="103" width="10.1328125" bestFit="1" customWidth="1"/>
    <col min="104" max="104" width="12.73046875" bestFit="1" customWidth="1"/>
    <col min="105" max="105" width="10.59765625" bestFit="1" customWidth="1"/>
    <col min="106" max="108" width="9.59765625" bestFit="1" customWidth="1"/>
    <col min="109" max="111" width="9.265625" bestFit="1" customWidth="1"/>
  </cols>
  <sheetData>
    <row r="1" spans="1:104" x14ac:dyDescent="0.45">
      <c r="A1" s="1" t="s">
        <v>258</v>
      </c>
      <c r="B1" s="180"/>
      <c r="C1" s="180"/>
      <c r="D1" s="180"/>
      <c r="E1" s="180"/>
      <c r="F1" s="180"/>
      <c r="G1" s="180"/>
      <c r="H1" s="180"/>
      <c r="I1" s="180"/>
      <c r="J1" s="180"/>
      <c r="K1" s="180"/>
      <c r="L1" s="180"/>
      <c r="M1" s="180"/>
      <c r="N1" s="180"/>
      <c r="O1" s="180"/>
      <c r="P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row>
    <row r="2" spans="1:104" s="2" customFormat="1" x14ac:dyDescent="0.45">
      <c r="A2" s="180"/>
      <c r="B2" s="180"/>
      <c r="C2" s="180"/>
      <c r="D2" s="180"/>
      <c r="E2" s="180"/>
      <c r="F2" s="180"/>
      <c r="G2" s="180"/>
      <c r="H2" s="180"/>
      <c r="I2" s="180"/>
      <c r="J2" s="180"/>
      <c r="K2" s="180"/>
      <c r="L2" s="180"/>
      <c r="M2" s="180"/>
      <c r="N2" s="180"/>
      <c r="O2" s="180"/>
      <c r="P2" s="180"/>
      <c r="Q2"/>
      <c r="R2"/>
      <c r="S2"/>
      <c r="T2"/>
      <c r="U2"/>
      <c r="V2"/>
      <c r="W2"/>
      <c r="X2"/>
      <c r="Y2"/>
      <c r="Z2"/>
      <c r="AA2"/>
      <c r="AB2"/>
      <c r="AC2"/>
      <c r="AD2"/>
      <c r="AE2"/>
      <c r="AF2"/>
      <c r="AG2"/>
      <c r="AH2"/>
      <c r="AI2"/>
      <c r="AJ2"/>
      <c r="AK2"/>
      <c r="AL2"/>
      <c r="AM2"/>
      <c r="AN2"/>
      <c r="AO2"/>
      <c r="AP2"/>
      <c r="AQ2"/>
      <c r="AR2"/>
      <c r="AS2" s="180"/>
      <c r="AT2" s="180"/>
      <c r="AU2" s="180"/>
      <c r="AV2" s="180"/>
      <c r="AW2" s="180"/>
      <c r="AX2" s="180"/>
      <c r="AY2" s="180"/>
      <c r="AZ2" s="180"/>
      <c r="BA2" s="180"/>
      <c r="BB2" s="180"/>
      <c r="BC2" s="180"/>
      <c r="BD2" s="180"/>
      <c r="BE2" s="180"/>
      <c r="BF2" s="180"/>
      <c r="BG2" s="180"/>
      <c r="BH2" s="1" t="s">
        <v>184</v>
      </c>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row>
    <row r="3" spans="1:104" s="2" customFormat="1" x14ac:dyDescent="0.45">
      <c r="A3" s="180" t="s">
        <v>259</v>
      </c>
      <c r="B3" s="180"/>
      <c r="C3" s="180"/>
      <c r="D3" s="180"/>
      <c r="E3" s="180"/>
      <c r="F3" s="180"/>
      <c r="G3" s="180"/>
      <c r="H3" s="180"/>
      <c r="I3" s="180"/>
      <c r="J3" s="180"/>
      <c r="K3" s="180"/>
      <c r="L3" s="180"/>
      <c r="M3" s="180"/>
      <c r="N3" s="180"/>
      <c r="O3" s="180"/>
      <c r="P3" s="180"/>
      <c r="Q3"/>
      <c r="R3"/>
      <c r="S3"/>
      <c r="T3"/>
      <c r="U3"/>
      <c r="V3"/>
      <c r="W3"/>
      <c r="X3"/>
      <c r="Y3"/>
      <c r="Z3"/>
      <c r="AA3"/>
      <c r="AB3"/>
      <c r="AC3"/>
      <c r="AD3"/>
      <c r="AE3"/>
      <c r="AF3"/>
      <c r="AG3"/>
      <c r="AH3"/>
      <c r="AI3"/>
      <c r="AJ3"/>
      <c r="AK3"/>
      <c r="AL3"/>
      <c r="AM3"/>
      <c r="AN3"/>
      <c r="AO3"/>
      <c r="AP3"/>
      <c r="AQ3"/>
      <c r="AR3"/>
      <c r="AS3" s="180"/>
      <c r="AT3" s="180"/>
      <c r="AU3" s="180"/>
      <c r="AV3" s="180"/>
      <c r="AW3" s="180"/>
      <c r="AX3" s="180"/>
      <c r="AY3" s="180"/>
      <c r="AZ3" s="180"/>
      <c r="BA3" s="180"/>
      <c r="BB3" s="180"/>
      <c r="BC3" s="180"/>
      <c r="BD3" s="180"/>
      <c r="BE3" s="180"/>
      <c r="BF3" s="180"/>
      <c r="BG3" s="180"/>
      <c r="BH3" s="1" t="s">
        <v>189</v>
      </c>
      <c r="BI3" s="14"/>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row>
    <row r="4" spans="1:104" s="2" customFormat="1" x14ac:dyDescent="0.45">
      <c r="A4" s="180" t="s">
        <v>260</v>
      </c>
      <c r="B4" s="180"/>
      <c r="C4" s="180"/>
      <c r="D4" s="180"/>
      <c r="E4" s="180"/>
      <c r="F4" s="180"/>
      <c r="G4" s="180"/>
      <c r="H4" s="180"/>
      <c r="I4" s="180"/>
      <c r="J4" s="180"/>
      <c r="K4" s="180"/>
      <c r="L4" s="180"/>
      <c r="M4" s="180"/>
      <c r="N4" s="180"/>
      <c r="O4" s="180"/>
      <c r="P4" s="180"/>
      <c r="Q4"/>
      <c r="R4"/>
      <c r="S4"/>
      <c r="T4"/>
      <c r="U4"/>
      <c r="V4"/>
      <c r="W4"/>
      <c r="X4"/>
      <c r="Y4"/>
      <c r="Z4"/>
      <c r="AA4"/>
      <c r="AB4"/>
      <c r="AC4"/>
      <c r="AD4"/>
      <c r="AE4"/>
      <c r="AF4"/>
      <c r="AG4"/>
      <c r="AH4"/>
      <c r="AI4"/>
      <c r="AJ4"/>
      <c r="AK4"/>
      <c r="AL4"/>
      <c r="AM4"/>
      <c r="AN4"/>
      <c r="AO4"/>
      <c r="AP4"/>
      <c r="AQ4"/>
      <c r="AR4"/>
      <c r="AS4" s="180"/>
      <c r="AT4" s="180"/>
      <c r="AU4" s="180"/>
      <c r="AV4" s="180"/>
      <c r="AW4" s="180"/>
      <c r="AX4" s="180"/>
      <c r="AY4" s="180"/>
      <c r="AZ4" s="180"/>
      <c r="BA4" s="180"/>
      <c r="BB4" s="180"/>
      <c r="BC4" s="180"/>
      <c r="BD4" s="180"/>
      <c r="BE4" s="180"/>
      <c r="BF4" s="180"/>
      <c r="BG4" s="180"/>
      <c r="BH4" s="1" t="s">
        <v>56</v>
      </c>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0"/>
      <c r="CY4" s="180"/>
      <c r="CZ4" s="180"/>
    </row>
    <row r="5" spans="1:104" s="2" customFormat="1" x14ac:dyDescent="0.45">
      <c r="A5" s="180" t="s">
        <v>261</v>
      </c>
      <c r="B5" s="180"/>
      <c r="C5" s="180"/>
      <c r="D5" s="180"/>
      <c r="E5" s="180"/>
      <c r="F5" s="180"/>
      <c r="G5" s="180"/>
      <c r="H5" s="180"/>
      <c r="I5" s="180"/>
      <c r="J5" s="180"/>
      <c r="K5" s="180"/>
      <c r="L5" s="180"/>
      <c r="M5" s="180"/>
      <c r="N5" s="180"/>
      <c r="O5" s="180"/>
      <c r="P5" s="180"/>
      <c r="Q5"/>
      <c r="R5"/>
      <c r="S5"/>
      <c r="T5"/>
      <c r="U5"/>
      <c r="V5"/>
      <c r="W5"/>
      <c r="X5"/>
      <c r="Y5"/>
      <c r="Z5"/>
      <c r="AA5"/>
      <c r="AB5"/>
      <c r="AC5"/>
      <c r="AD5"/>
      <c r="AE5"/>
      <c r="AF5"/>
      <c r="AG5"/>
      <c r="AH5"/>
      <c r="AI5"/>
      <c r="AJ5"/>
      <c r="AK5"/>
      <c r="AL5"/>
      <c r="AM5"/>
      <c r="AN5"/>
      <c r="AO5"/>
      <c r="AP5"/>
      <c r="AQ5"/>
      <c r="AR5"/>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80"/>
      <c r="CR5" s="180"/>
      <c r="CS5" s="180"/>
      <c r="CT5" s="180"/>
      <c r="CU5" s="180"/>
      <c r="CV5" s="180"/>
      <c r="CW5" s="180"/>
      <c r="CX5" s="180"/>
      <c r="CY5" s="180"/>
      <c r="CZ5" s="180"/>
    </row>
    <row r="6" spans="1:104" s="2" customFormat="1" x14ac:dyDescent="0.45">
      <c r="A6" s="180" t="s">
        <v>690</v>
      </c>
      <c r="B6" s="180"/>
      <c r="C6" s="180"/>
      <c r="D6" s="180"/>
      <c r="E6" s="180"/>
      <c r="F6" s="180"/>
      <c r="G6" s="180"/>
      <c r="H6" s="180"/>
      <c r="I6" s="180"/>
      <c r="J6" s="180"/>
      <c r="K6" s="180"/>
      <c r="L6" s="180"/>
      <c r="M6" s="180"/>
      <c r="N6" s="180"/>
      <c r="O6" s="180"/>
      <c r="P6" s="180"/>
      <c r="Q6"/>
      <c r="R6"/>
      <c r="S6"/>
      <c r="T6"/>
      <c r="U6"/>
      <c r="V6"/>
      <c r="W6"/>
      <c r="X6"/>
      <c r="Y6"/>
      <c r="Z6"/>
      <c r="AA6"/>
      <c r="AB6"/>
      <c r="AC6"/>
      <c r="AD6"/>
      <c r="AE6"/>
      <c r="AF6"/>
      <c r="AG6"/>
      <c r="AH6"/>
      <c r="AI6"/>
      <c r="AJ6"/>
      <c r="AK6"/>
      <c r="AL6"/>
      <c r="AM6"/>
      <c r="AN6"/>
      <c r="AO6"/>
      <c r="AP6"/>
      <c r="AQ6"/>
      <c r="AR6"/>
      <c r="AS6" s="180"/>
      <c r="AT6" s="180"/>
      <c r="AU6" s="180"/>
      <c r="AV6" s="180"/>
      <c r="AW6" s="180"/>
      <c r="AX6" s="180"/>
      <c r="AY6" s="180"/>
      <c r="AZ6" s="180"/>
      <c r="BA6" s="180"/>
      <c r="BB6" s="180"/>
      <c r="BC6" s="180"/>
      <c r="BD6" s="180"/>
      <c r="BE6" s="180"/>
      <c r="BF6" s="180"/>
      <c r="BG6" s="180"/>
      <c r="BH6" s="180"/>
      <c r="BI6" s="1" t="s">
        <v>20</v>
      </c>
      <c r="BJ6" s="180"/>
      <c r="BK6" s="180"/>
      <c r="BL6" s="180"/>
      <c r="BM6" s="1"/>
      <c r="BN6" s="180"/>
      <c r="BO6" s="180"/>
      <c r="BP6" s="180"/>
      <c r="BQ6" s="180"/>
      <c r="BR6" s="180"/>
      <c r="BS6" s="180"/>
      <c r="BT6" s="180"/>
      <c r="BU6" s="180"/>
      <c r="BV6" s="180"/>
      <c r="BW6" s="180"/>
      <c r="BX6" s="180"/>
      <c r="BY6" s="180"/>
      <c r="BZ6" s="180"/>
      <c r="CA6" s="180" t="s">
        <v>21</v>
      </c>
      <c r="CB6" s="180"/>
      <c r="CC6" s="180"/>
      <c r="CD6" s="180"/>
      <c r="CE6" s="180"/>
      <c r="CF6" s="180"/>
      <c r="CG6" s="180"/>
      <c r="CH6" s="180"/>
      <c r="CI6" s="180"/>
      <c r="CJ6" s="180"/>
      <c r="CK6" s="180"/>
      <c r="CL6" s="180"/>
      <c r="CM6" s="180"/>
      <c r="CN6" s="180"/>
      <c r="CO6" s="180"/>
      <c r="CP6" s="180"/>
      <c r="CQ6" s="180"/>
      <c r="CR6" s="180"/>
      <c r="CS6" s="180"/>
      <c r="CT6" s="180"/>
      <c r="CU6" s="180"/>
      <c r="CV6" s="180"/>
      <c r="CW6" s="180"/>
      <c r="CX6" s="180"/>
      <c r="CY6" s="180"/>
      <c r="CZ6" s="180"/>
    </row>
    <row r="7" spans="1:104" s="2" customFormat="1" x14ac:dyDescent="0.45">
      <c r="A7" s="180" t="s">
        <v>217</v>
      </c>
      <c r="B7" s="180"/>
      <c r="C7" s="180"/>
      <c r="D7" s="180"/>
      <c r="E7" s="180"/>
      <c r="F7" s="180"/>
      <c r="G7" s="180"/>
      <c r="H7" s="180"/>
      <c r="I7" s="180"/>
      <c r="J7" s="180"/>
      <c r="K7" s="180"/>
      <c r="L7" s="180"/>
      <c r="M7" s="180"/>
      <c r="N7" s="180"/>
      <c r="O7" s="180"/>
      <c r="P7" s="180"/>
      <c r="Q7"/>
      <c r="R7"/>
      <c r="S7"/>
      <c r="T7"/>
      <c r="U7"/>
      <c r="V7"/>
      <c r="W7"/>
      <c r="X7"/>
      <c r="Y7"/>
      <c r="Z7"/>
      <c r="AA7"/>
      <c r="AB7"/>
      <c r="AC7"/>
      <c r="AD7"/>
      <c r="AE7"/>
      <c r="AF7"/>
      <c r="AG7"/>
      <c r="AH7"/>
      <c r="AI7"/>
      <c r="AJ7"/>
      <c r="AK7"/>
      <c r="AL7"/>
      <c r="AM7"/>
      <c r="AN7"/>
      <c r="AO7"/>
      <c r="AP7"/>
      <c r="AQ7"/>
      <c r="AR7"/>
      <c r="AS7" s="180"/>
      <c r="AT7" s="180"/>
      <c r="AU7" s="180"/>
      <c r="AV7" s="180"/>
      <c r="AW7" s="180"/>
      <c r="AX7" s="180"/>
      <c r="AY7" s="180"/>
      <c r="AZ7" s="180"/>
      <c r="BA7" s="180"/>
      <c r="BB7" s="180"/>
      <c r="BC7" s="180"/>
      <c r="BD7" s="180"/>
      <c r="BE7" s="180"/>
      <c r="BF7" s="180"/>
      <c r="BG7" s="180"/>
      <c r="BH7" s="26" t="s">
        <v>19</v>
      </c>
      <c r="BI7" s="187">
        <v>13</v>
      </c>
      <c r="BJ7" s="188">
        <v>14</v>
      </c>
      <c r="BK7" s="188">
        <v>15</v>
      </c>
      <c r="BL7" s="188">
        <v>16</v>
      </c>
      <c r="BM7" s="188">
        <v>17</v>
      </c>
      <c r="BN7" s="188">
        <v>18</v>
      </c>
      <c r="BO7" s="188">
        <v>19</v>
      </c>
      <c r="BP7" s="188">
        <v>20</v>
      </c>
      <c r="BQ7" s="188">
        <v>21</v>
      </c>
      <c r="BR7" s="189">
        <v>22</v>
      </c>
      <c r="BS7" s="190">
        <v>23</v>
      </c>
      <c r="BT7" s="190">
        <v>24</v>
      </c>
      <c r="BU7" s="190">
        <v>25</v>
      </c>
      <c r="BV7" s="190">
        <v>26</v>
      </c>
      <c r="BW7" s="190">
        <v>27</v>
      </c>
      <c r="BX7" s="190">
        <v>28</v>
      </c>
      <c r="BY7" s="190">
        <v>29</v>
      </c>
      <c r="BZ7" s="190">
        <v>30</v>
      </c>
      <c r="CA7" s="190">
        <v>1</v>
      </c>
      <c r="CB7" s="190">
        <v>2</v>
      </c>
      <c r="CC7" s="190">
        <v>3</v>
      </c>
      <c r="CD7" s="190">
        <v>4</v>
      </c>
      <c r="CE7" s="190">
        <v>5</v>
      </c>
      <c r="CF7" s="190">
        <v>6</v>
      </c>
      <c r="CG7" s="190">
        <v>7</v>
      </c>
      <c r="CH7" s="190">
        <v>8</v>
      </c>
      <c r="CI7" s="190">
        <v>9</v>
      </c>
      <c r="CJ7" s="190">
        <v>10</v>
      </c>
      <c r="CK7" s="190">
        <v>11</v>
      </c>
      <c r="CL7" s="190">
        <v>12</v>
      </c>
      <c r="CM7" s="190">
        <v>13</v>
      </c>
      <c r="CN7" s="190">
        <v>14</v>
      </c>
      <c r="CO7" s="190">
        <v>15</v>
      </c>
      <c r="CP7" s="190">
        <v>16</v>
      </c>
      <c r="CQ7" s="190">
        <v>17</v>
      </c>
      <c r="CR7" s="190">
        <v>18</v>
      </c>
      <c r="CS7" s="190">
        <v>19</v>
      </c>
      <c r="CT7" s="190">
        <v>20</v>
      </c>
      <c r="CU7" s="190">
        <v>21</v>
      </c>
      <c r="CV7" s="190">
        <v>22</v>
      </c>
      <c r="CW7" s="190">
        <v>23</v>
      </c>
      <c r="CX7" s="191" t="s">
        <v>24</v>
      </c>
      <c r="CY7" s="192"/>
      <c r="CZ7" s="192"/>
    </row>
    <row r="8" spans="1:104" s="2" customFormat="1" x14ac:dyDescent="0.45">
      <c r="A8" s="180" t="s">
        <v>681</v>
      </c>
      <c r="B8"/>
      <c r="C8" s="180"/>
      <c r="D8" s="180"/>
      <c r="E8" s="180"/>
      <c r="F8" s="180"/>
      <c r="G8" s="180"/>
      <c r="H8" s="180"/>
      <c r="I8" s="180"/>
      <c r="J8" s="180"/>
      <c r="K8" s="180"/>
      <c r="L8" s="180"/>
      <c r="M8" s="180"/>
      <c r="N8" s="180"/>
      <c r="O8" s="180"/>
      <c r="P8" s="180"/>
      <c r="Q8"/>
      <c r="R8"/>
      <c r="S8"/>
      <c r="T8"/>
      <c r="U8"/>
      <c r="V8"/>
      <c r="W8"/>
      <c r="X8"/>
      <c r="Y8"/>
      <c r="Z8"/>
      <c r="AA8"/>
      <c r="AB8"/>
      <c r="AC8"/>
      <c r="AD8"/>
      <c r="AE8"/>
      <c r="AF8"/>
      <c r="AG8"/>
      <c r="AH8"/>
      <c r="AI8"/>
      <c r="AJ8"/>
      <c r="AK8"/>
      <c r="AL8"/>
      <c r="AM8"/>
      <c r="AN8"/>
      <c r="AO8"/>
      <c r="AP8"/>
      <c r="AQ8"/>
      <c r="AR8"/>
      <c r="AS8" s="180"/>
      <c r="AT8" s="180"/>
      <c r="AU8" s="180"/>
      <c r="AV8" s="180"/>
      <c r="AW8" s="180"/>
      <c r="AX8" s="180"/>
      <c r="AY8" s="180"/>
      <c r="AZ8" s="180"/>
      <c r="BA8" s="180"/>
      <c r="BB8" s="180"/>
      <c r="BC8" s="180"/>
      <c r="BD8" s="180"/>
      <c r="BE8" s="180"/>
      <c r="BF8" s="180"/>
      <c r="BG8" s="180"/>
      <c r="BH8" s="3" t="s">
        <v>1</v>
      </c>
      <c r="BI8" s="86"/>
      <c r="BJ8" s="86"/>
      <c r="BK8" s="86"/>
      <c r="BL8" s="86"/>
      <c r="BM8" s="86"/>
      <c r="BN8" s="86"/>
      <c r="BO8" s="86"/>
      <c r="BP8" s="86"/>
      <c r="BQ8" s="86"/>
      <c r="BR8" s="86">
        <v>1</v>
      </c>
      <c r="BS8" s="86">
        <v>3</v>
      </c>
      <c r="BT8" s="86"/>
      <c r="BU8" s="86"/>
      <c r="BV8" s="86">
        <v>4</v>
      </c>
      <c r="BW8" s="86"/>
      <c r="BX8" s="86">
        <f>6+4</f>
        <v>10</v>
      </c>
      <c r="BY8" s="86"/>
      <c r="BZ8" s="86"/>
      <c r="CA8" s="86"/>
      <c r="CB8" s="86"/>
      <c r="CC8" s="86">
        <f>6+7+3+20</f>
        <v>36</v>
      </c>
      <c r="CD8" s="86">
        <f>15+5+6+6</f>
        <v>32</v>
      </c>
      <c r="CE8" s="86">
        <f>45+7+10+2</f>
        <v>64</v>
      </c>
      <c r="CF8" s="86">
        <f>2+2+7</f>
        <v>11</v>
      </c>
      <c r="CG8" s="86">
        <f>16+1+1+3</f>
        <v>21</v>
      </c>
      <c r="CH8" s="86">
        <f>1+10+9+21+21</f>
        <v>62</v>
      </c>
      <c r="CI8" s="86">
        <v>2</v>
      </c>
      <c r="CJ8" s="86">
        <f>4+12+7+1</f>
        <v>24</v>
      </c>
      <c r="CK8" s="86">
        <v>5</v>
      </c>
      <c r="CL8" s="86">
        <f>4+3</f>
        <v>7</v>
      </c>
      <c r="CM8" s="86">
        <f>1+1+24+27+5</f>
        <v>58</v>
      </c>
      <c r="CN8" s="86"/>
      <c r="CO8" s="86"/>
      <c r="CP8" s="86"/>
      <c r="CQ8" s="86"/>
      <c r="CR8" s="86">
        <f>4+9+4+41+1</f>
        <v>59</v>
      </c>
      <c r="CS8" s="86">
        <v>2</v>
      </c>
      <c r="CT8" s="86">
        <f>5+6</f>
        <v>11</v>
      </c>
      <c r="CU8" s="86"/>
      <c r="CV8" s="86"/>
      <c r="CW8" s="86">
        <f>2+33+7</f>
        <v>42</v>
      </c>
      <c r="CX8" s="86">
        <f t="shared" ref="CX8:CX34" si="0">SUM(BI8:CW8)</f>
        <v>454</v>
      </c>
      <c r="CY8" s="192"/>
      <c r="CZ8" s="192"/>
    </row>
    <row r="9" spans="1:104" s="2" customFormat="1" x14ac:dyDescent="0.45">
      <c r="A9" s="180"/>
      <c r="B9" s="180"/>
      <c r="C9" s="180"/>
      <c r="D9" s="180"/>
      <c r="E9" s="180"/>
      <c r="F9" s="180"/>
      <c r="G9" s="180"/>
      <c r="H9" s="180"/>
      <c r="I9" s="180"/>
      <c r="J9" s="180"/>
      <c r="K9" s="180"/>
      <c r="L9" s="180"/>
      <c r="M9" s="180"/>
      <c r="N9" s="180"/>
      <c r="O9" s="180"/>
      <c r="P9" s="180"/>
      <c r="Q9"/>
      <c r="R9"/>
      <c r="S9"/>
      <c r="T9"/>
      <c r="U9"/>
      <c r="V9"/>
      <c r="W9"/>
      <c r="X9"/>
      <c r="Y9"/>
      <c r="Z9"/>
      <c r="AA9"/>
      <c r="AB9"/>
      <c r="AC9"/>
      <c r="AD9"/>
      <c r="AE9"/>
      <c r="AF9"/>
      <c r="AG9"/>
      <c r="AH9"/>
      <c r="AI9"/>
      <c r="AJ9"/>
      <c r="AK9"/>
      <c r="AL9"/>
      <c r="AM9"/>
      <c r="AN9"/>
      <c r="AO9"/>
      <c r="AP9"/>
      <c r="AQ9"/>
      <c r="AR9"/>
      <c r="AS9" s="180"/>
      <c r="AT9" s="180"/>
      <c r="AU9" s="180"/>
      <c r="AV9" s="180"/>
      <c r="AW9" s="180"/>
      <c r="AX9" s="180"/>
      <c r="AY9" s="180"/>
      <c r="AZ9" s="180"/>
      <c r="BA9" s="180"/>
      <c r="BB9" s="180"/>
      <c r="BC9" s="180"/>
      <c r="BD9" s="180"/>
      <c r="BE9" s="180"/>
      <c r="BF9" s="180"/>
      <c r="BG9" s="180"/>
      <c r="BH9" s="83" t="s">
        <v>41</v>
      </c>
      <c r="BI9" s="86"/>
      <c r="BJ9" s="86"/>
      <c r="BK9" s="86"/>
      <c r="BL9" s="86"/>
      <c r="BM9" s="86"/>
      <c r="BN9" s="86"/>
      <c r="BO9" s="86"/>
      <c r="BP9" s="86"/>
      <c r="BQ9" s="86"/>
      <c r="BR9" s="86"/>
      <c r="BS9" s="86">
        <f>1+1</f>
        <v>2</v>
      </c>
      <c r="BT9" s="86"/>
      <c r="BU9" s="86"/>
      <c r="BV9" s="86">
        <f>6+1</f>
        <v>7</v>
      </c>
      <c r="BW9" s="86">
        <v>2</v>
      </c>
      <c r="BX9" s="86">
        <f>2+3</f>
        <v>5</v>
      </c>
      <c r="BY9" s="86">
        <v>1</v>
      </c>
      <c r="BZ9" s="86"/>
      <c r="CA9" s="86"/>
      <c r="CB9" s="86"/>
      <c r="CC9" s="86">
        <f>1+1+3</f>
        <v>5</v>
      </c>
      <c r="CD9" s="86">
        <v>3</v>
      </c>
      <c r="CE9" s="86">
        <v>5</v>
      </c>
      <c r="CF9" s="86">
        <v>3</v>
      </c>
      <c r="CG9" s="86">
        <f>1+3</f>
        <v>4</v>
      </c>
      <c r="CH9" s="86">
        <v>1</v>
      </c>
      <c r="CI9" s="86"/>
      <c r="CJ9" s="86"/>
      <c r="CK9" s="86"/>
      <c r="CL9" s="86"/>
      <c r="CM9" s="86">
        <v>13</v>
      </c>
      <c r="CN9" s="86"/>
      <c r="CO9" s="86"/>
      <c r="CP9" s="86"/>
      <c r="CQ9" s="86"/>
      <c r="CR9" s="86">
        <v>1</v>
      </c>
      <c r="CS9" s="86"/>
      <c r="CT9" s="86"/>
      <c r="CU9" s="86"/>
      <c r="CV9" s="86"/>
      <c r="CW9" s="86"/>
      <c r="CX9" s="86">
        <f t="shared" si="0"/>
        <v>52</v>
      </c>
      <c r="CY9" s="180"/>
      <c r="CZ9" s="180"/>
    </row>
    <row r="10" spans="1:104" x14ac:dyDescent="0.45">
      <c r="A10" s="1" t="s">
        <v>679</v>
      </c>
      <c r="B10" s="180"/>
      <c r="C10" s="180"/>
      <c r="D10" s="180"/>
      <c r="E10" s="180"/>
      <c r="F10" s="180"/>
      <c r="G10" s="180"/>
      <c r="H10" s="180"/>
      <c r="I10" s="180"/>
      <c r="J10" s="180"/>
      <c r="K10" s="180"/>
      <c r="L10" s="180"/>
      <c r="M10" s="180"/>
      <c r="N10" s="180"/>
      <c r="O10" s="180"/>
      <c r="P10" s="180"/>
      <c r="AS10" s="180"/>
      <c r="AT10" s="180"/>
      <c r="AU10" s="180"/>
      <c r="AV10" s="180"/>
      <c r="AW10" s="180"/>
      <c r="AX10" s="180"/>
      <c r="AY10" s="180"/>
      <c r="AZ10" s="180"/>
      <c r="BA10" s="180"/>
      <c r="BB10" s="180"/>
      <c r="BC10" s="180"/>
      <c r="BD10" s="180"/>
      <c r="BE10" s="180"/>
      <c r="BF10" s="180"/>
      <c r="BG10" s="180"/>
      <c r="BH10" s="3" t="s">
        <v>2</v>
      </c>
      <c r="BI10" s="86"/>
      <c r="BJ10" s="86"/>
      <c r="BK10" s="86"/>
      <c r="BL10" s="86"/>
      <c r="BM10" s="86"/>
      <c r="BN10" s="86">
        <f>8+6+1</f>
        <v>15</v>
      </c>
      <c r="BO10" s="86">
        <v>2</v>
      </c>
      <c r="BP10" s="86"/>
      <c r="BQ10" s="86"/>
      <c r="BR10" s="86"/>
      <c r="BS10" s="86">
        <f>13+1</f>
        <v>14</v>
      </c>
      <c r="BT10" s="86"/>
      <c r="BU10" s="86"/>
      <c r="BV10" s="86">
        <f>46+15+1</f>
        <v>62</v>
      </c>
      <c r="BW10" s="86">
        <v>10</v>
      </c>
      <c r="BX10" s="86">
        <f>4+4</f>
        <v>8</v>
      </c>
      <c r="BY10" s="86">
        <f>8+17</f>
        <v>25</v>
      </c>
      <c r="BZ10" s="86"/>
      <c r="CA10" s="86"/>
      <c r="CB10" s="86"/>
      <c r="CC10" s="86">
        <f>6+1</f>
        <v>7</v>
      </c>
      <c r="CD10" s="86">
        <v>6</v>
      </c>
      <c r="CE10" s="86">
        <f>4+5+13</f>
        <v>22</v>
      </c>
      <c r="CF10" s="86">
        <f>1+5</f>
        <v>6</v>
      </c>
      <c r="CG10" s="86">
        <f>6+5+2</f>
        <v>13</v>
      </c>
      <c r="CH10" s="86">
        <f>1+2+13+1</f>
        <v>17</v>
      </c>
      <c r="CI10" s="86"/>
      <c r="CJ10" s="86">
        <f>11+12+1</f>
        <v>24</v>
      </c>
      <c r="CK10" s="86"/>
      <c r="CL10" s="86"/>
      <c r="CM10" s="86">
        <f>10+3+5</f>
        <v>18</v>
      </c>
      <c r="CN10" s="86">
        <f>3+1</f>
        <v>4</v>
      </c>
      <c r="CO10" s="86"/>
      <c r="CP10" s="86"/>
      <c r="CQ10" s="86"/>
      <c r="CR10" s="86">
        <f>1+2</f>
        <v>3</v>
      </c>
      <c r="CS10" s="86"/>
      <c r="CT10" s="86">
        <v>3</v>
      </c>
      <c r="CU10" s="86"/>
      <c r="CV10" s="86"/>
      <c r="CW10" s="86"/>
      <c r="CX10" s="86">
        <f t="shared" si="0"/>
        <v>259</v>
      </c>
      <c r="CY10" s="180"/>
      <c r="CZ10" s="180"/>
    </row>
    <row r="11" spans="1:104" x14ac:dyDescent="0.45">
      <c r="A11" s="180"/>
      <c r="B11" s="180"/>
      <c r="C11" s="180"/>
      <c r="D11" s="180"/>
      <c r="E11" s="180"/>
      <c r="F11" s="180"/>
      <c r="G11" s="180"/>
      <c r="H11" s="180"/>
      <c r="I11" s="180"/>
      <c r="J11" s="180"/>
      <c r="K11" s="180"/>
      <c r="L11" s="180"/>
      <c r="M11" s="180"/>
      <c r="N11" s="180"/>
      <c r="O11" s="180"/>
      <c r="P11" s="180"/>
      <c r="AS11" s="180"/>
      <c r="AT11" s="180"/>
      <c r="AU11" s="180"/>
      <c r="AV11" s="180"/>
      <c r="AW11" s="180"/>
      <c r="AX11" s="180"/>
      <c r="AY11" s="180"/>
      <c r="AZ11" s="180"/>
      <c r="BA11" s="180"/>
      <c r="BB11" s="180"/>
      <c r="BC11" s="180"/>
      <c r="BD11" s="180"/>
      <c r="BE11" s="180"/>
      <c r="BF11" s="180"/>
      <c r="BG11" s="180"/>
      <c r="BH11" s="83" t="s">
        <v>43</v>
      </c>
      <c r="BI11" s="86"/>
      <c r="BJ11" s="86"/>
      <c r="BK11" s="86">
        <v>1</v>
      </c>
      <c r="BL11" s="86"/>
      <c r="BM11" s="86"/>
      <c r="BN11" s="86"/>
      <c r="BO11" s="86"/>
      <c r="BP11" s="86"/>
      <c r="BQ11" s="86"/>
      <c r="BR11" s="86"/>
      <c r="BS11" s="86"/>
      <c r="BT11" s="86"/>
      <c r="BU11" s="86"/>
      <c r="BV11" s="86"/>
      <c r="BW11" s="86">
        <v>2</v>
      </c>
      <c r="BX11" s="86"/>
      <c r="BY11" s="86">
        <v>2</v>
      </c>
      <c r="BZ11" s="86"/>
      <c r="CA11" s="86"/>
      <c r="CB11" s="86"/>
      <c r="CC11" s="86"/>
      <c r="CD11" s="86"/>
      <c r="CE11" s="86"/>
      <c r="CF11" s="86">
        <f>2+2</f>
        <v>4</v>
      </c>
      <c r="CG11" s="86"/>
      <c r="CH11" s="86"/>
      <c r="CI11" s="86"/>
      <c r="CJ11" s="86"/>
      <c r="CK11" s="86">
        <v>3</v>
      </c>
      <c r="CL11" s="86"/>
      <c r="CM11" s="86"/>
      <c r="CN11" s="86"/>
      <c r="CO11" s="86"/>
      <c r="CP11" s="86"/>
      <c r="CQ11" s="86"/>
      <c r="CR11" s="86"/>
      <c r="CS11" s="86"/>
      <c r="CT11" s="86"/>
      <c r="CU11" s="86"/>
      <c r="CV11" s="86"/>
      <c r="CW11" s="86"/>
      <c r="CX11" s="86">
        <f t="shared" si="0"/>
        <v>12</v>
      </c>
      <c r="CY11" s="180"/>
      <c r="CZ11" s="180"/>
    </row>
    <row r="12" spans="1:104" x14ac:dyDescent="0.45">
      <c r="A12" s="1" t="s">
        <v>262</v>
      </c>
      <c r="B12" s="27" t="s">
        <v>263</v>
      </c>
      <c r="C12" s="27" t="s">
        <v>264</v>
      </c>
      <c r="D12" s="1" t="s">
        <v>265</v>
      </c>
      <c r="E12" s="1" t="s">
        <v>266</v>
      </c>
      <c r="F12" s="1" t="s">
        <v>267</v>
      </c>
      <c r="G12" s="1" t="s">
        <v>268</v>
      </c>
      <c r="H12" s="1" t="s">
        <v>269</v>
      </c>
      <c r="I12" s="1" t="s">
        <v>270</v>
      </c>
      <c r="J12" s="180"/>
      <c r="K12" s="180"/>
      <c r="L12" s="180"/>
      <c r="M12" s="180"/>
      <c r="N12" s="180"/>
      <c r="O12" s="180"/>
      <c r="P12" s="180"/>
      <c r="AS12" s="180"/>
      <c r="AT12" s="180"/>
      <c r="AU12" s="180"/>
      <c r="AV12" s="180"/>
      <c r="AW12" s="180"/>
      <c r="AX12" s="180"/>
      <c r="AY12" s="180"/>
      <c r="AZ12" s="180"/>
      <c r="BA12" s="180"/>
      <c r="BB12" s="180"/>
      <c r="BC12" s="180"/>
      <c r="BD12" s="180"/>
      <c r="BE12" s="180"/>
      <c r="BF12" s="180"/>
      <c r="BG12" s="180"/>
      <c r="BH12" s="3" t="s">
        <v>6</v>
      </c>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v>1</v>
      </c>
      <c r="CH12" s="86"/>
      <c r="CI12" s="86"/>
      <c r="CJ12" s="86"/>
      <c r="CK12" s="86"/>
      <c r="CL12" s="86"/>
      <c r="CM12" s="86"/>
      <c r="CN12" s="86"/>
      <c r="CO12" s="86"/>
      <c r="CP12" s="86"/>
      <c r="CQ12" s="86"/>
      <c r="CR12" s="86"/>
      <c r="CS12" s="86"/>
      <c r="CT12" s="86"/>
      <c r="CU12" s="86"/>
      <c r="CV12" s="86"/>
      <c r="CW12" s="86"/>
      <c r="CX12" s="86">
        <f t="shared" si="0"/>
        <v>1</v>
      </c>
      <c r="CY12" s="180"/>
      <c r="CZ12" s="180"/>
    </row>
    <row r="13" spans="1:104" x14ac:dyDescent="0.45">
      <c r="A13" s="180" t="s">
        <v>45</v>
      </c>
      <c r="B13" s="73">
        <v>2</v>
      </c>
      <c r="C13" s="73">
        <v>2</v>
      </c>
      <c r="D13" s="180" t="s">
        <v>271</v>
      </c>
      <c r="E13" s="39">
        <v>43603</v>
      </c>
      <c r="F13" s="179">
        <v>0.70833333333333337</v>
      </c>
      <c r="G13" s="180">
        <v>3</v>
      </c>
      <c r="H13" s="180" t="s">
        <v>272</v>
      </c>
      <c r="I13" s="180"/>
      <c r="J13" s="180"/>
      <c r="K13" s="180"/>
      <c r="L13" s="180"/>
      <c r="M13" s="180"/>
      <c r="N13" s="180"/>
      <c r="O13" s="180"/>
      <c r="P13" s="180"/>
      <c r="AS13" s="180"/>
      <c r="AT13" s="180"/>
      <c r="AU13" s="180"/>
      <c r="AV13" s="180"/>
      <c r="AW13" s="180"/>
      <c r="AX13" s="180"/>
      <c r="AY13" s="180"/>
      <c r="AZ13" s="180"/>
      <c r="BA13" s="180"/>
      <c r="BB13" s="180"/>
      <c r="BC13" s="180"/>
      <c r="BD13" s="180"/>
      <c r="BE13" s="180"/>
      <c r="BF13" s="180"/>
      <c r="BG13" s="180"/>
      <c r="BH13" s="3" t="s">
        <v>7</v>
      </c>
      <c r="BI13" s="86"/>
      <c r="BJ13" s="86"/>
      <c r="BK13" s="86"/>
      <c r="BL13" s="86"/>
      <c r="BM13" s="86"/>
      <c r="BN13" s="86"/>
      <c r="BO13" s="86"/>
      <c r="BP13" s="86"/>
      <c r="BQ13" s="86"/>
      <c r="BR13" s="86"/>
      <c r="BS13" s="86"/>
      <c r="BT13" s="86"/>
      <c r="BU13" s="86"/>
      <c r="BV13" s="86"/>
      <c r="BW13" s="86"/>
      <c r="BX13" s="86"/>
      <c r="BY13" s="86"/>
      <c r="BZ13" s="86"/>
      <c r="CA13" s="86">
        <v>9</v>
      </c>
      <c r="CB13" s="86">
        <f>13+17+11</f>
        <v>41</v>
      </c>
      <c r="CC13" s="86">
        <f>1+1</f>
        <v>2</v>
      </c>
      <c r="CD13" s="86">
        <f>1+1</f>
        <v>2</v>
      </c>
      <c r="CE13" s="86">
        <f>3+1</f>
        <v>4</v>
      </c>
      <c r="CF13" s="86">
        <v>2</v>
      </c>
      <c r="CG13" s="86">
        <f>1+1</f>
        <v>2</v>
      </c>
      <c r="CH13" s="86">
        <v>1</v>
      </c>
      <c r="CI13" s="180"/>
      <c r="CJ13" s="86">
        <f>2+1+9+2</f>
        <v>14</v>
      </c>
      <c r="CK13" s="86">
        <f>7+2</f>
        <v>9</v>
      </c>
      <c r="CL13" s="86"/>
      <c r="CM13" s="86">
        <f>8+2</f>
        <v>10</v>
      </c>
      <c r="CN13" s="86"/>
      <c r="CO13" s="86"/>
      <c r="CP13" s="86"/>
      <c r="CQ13" s="86">
        <v>4</v>
      </c>
      <c r="CR13" s="86"/>
      <c r="CS13" s="86">
        <v>1</v>
      </c>
      <c r="CT13" s="86"/>
      <c r="CU13" s="86"/>
      <c r="CV13" s="86"/>
      <c r="CW13" s="86"/>
      <c r="CX13" s="86">
        <f t="shared" si="0"/>
        <v>101</v>
      </c>
      <c r="CY13" s="180"/>
      <c r="CZ13" s="180"/>
    </row>
    <row r="14" spans="1:104" x14ac:dyDescent="0.45">
      <c r="A14" s="1" t="s">
        <v>273</v>
      </c>
      <c r="B14" s="73"/>
      <c r="C14" s="73">
        <f>SUM(C13)</f>
        <v>2</v>
      </c>
      <c r="D14" s="180"/>
      <c r="E14" s="39"/>
      <c r="F14" s="179"/>
      <c r="G14" s="180"/>
      <c r="H14" s="180"/>
      <c r="I14" s="180"/>
      <c r="J14" s="180"/>
      <c r="K14" s="180"/>
      <c r="L14" s="180"/>
      <c r="M14" s="180"/>
      <c r="N14" s="180"/>
      <c r="O14" s="180"/>
      <c r="P14" s="180"/>
      <c r="AS14" s="180"/>
      <c r="AT14" s="180"/>
      <c r="AU14" s="180"/>
      <c r="AV14" s="180"/>
      <c r="AW14" s="180"/>
      <c r="AX14" s="180"/>
      <c r="AY14" s="180"/>
      <c r="AZ14" s="180"/>
      <c r="BA14" s="180"/>
      <c r="BB14" s="180"/>
      <c r="BC14" s="180"/>
      <c r="BD14" s="180"/>
      <c r="BE14" s="180"/>
      <c r="BF14" s="180"/>
      <c r="BG14" s="180"/>
      <c r="BH14" s="83" t="s">
        <v>50</v>
      </c>
      <c r="BI14" s="86"/>
      <c r="BJ14" s="86"/>
      <c r="BK14" s="86"/>
      <c r="BL14" s="86"/>
      <c r="BM14" s="86"/>
      <c r="BN14" s="86"/>
      <c r="BO14" s="86"/>
      <c r="BP14" s="86"/>
      <c r="BQ14" s="86"/>
      <c r="BR14" s="86"/>
      <c r="BS14" s="86"/>
      <c r="BT14" s="86"/>
      <c r="BU14" s="86"/>
      <c r="BV14" s="86"/>
      <c r="BW14" s="86"/>
      <c r="BX14" s="86"/>
      <c r="BY14" s="86"/>
      <c r="BZ14" s="86"/>
      <c r="CA14" s="86"/>
      <c r="CB14" s="86"/>
      <c r="CC14" s="86">
        <v>1</v>
      </c>
      <c r="CD14" s="86">
        <v>2</v>
      </c>
      <c r="CE14" s="86">
        <v>2</v>
      </c>
      <c r="CF14" s="86"/>
      <c r="CG14" s="86"/>
      <c r="CH14" s="86"/>
      <c r="CI14" s="86"/>
      <c r="CJ14" s="86"/>
      <c r="CK14" s="86"/>
      <c r="CL14" s="86"/>
      <c r="CM14" s="86"/>
      <c r="CN14" s="86"/>
      <c r="CO14" s="86"/>
      <c r="CP14" s="86"/>
      <c r="CQ14" s="86"/>
      <c r="CR14" s="86"/>
      <c r="CS14" s="86"/>
      <c r="CT14" s="86">
        <v>1</v>
      </c>
      <c r="CU14" s="86"/>
      <c r="CV14" s="86"/>
      <c r="CW14" s="86"/>
      <c r="CX14" s="86">
        <f t="shared" si="0"/>
        <v>6</v>
      </c>
      <c r="CY14" s="180"/>
      <c r="CZ14" s="180"/>
    </row>
    <row r="15" spans="1:104" x14ac:dyDescent="0.45">
      <c r="A15" s="1"/>
      <c r="B15" s="73"/>
      <c r="C15" s="73"/>
      <c r="D15" s="180"/>
      <c r="E15" s="39"/>
      <c r="F15" s="179"/>
      <c r="G15" s="180"/>
      <c r="H15" s="180"/>
      <c r="I15" s="180"/>
      <c r="J15" s="180"/>
      <c r="K15" s="180"/>
      <c r="L15" s="180"/>
      <c r="M15" s="180"/>
      <c r="N15" s="180"/>
      <c r="O15" s="180"/>
      <c r="P15" s="180"/>
      <c r="AS15" s="180"/>
      <c r="AT15" s="180"/>
      <c r="AU15" s="180"/>
      <c r="AV15" s="180"/>
      <c r="AW15" s="180"/>
      <c r="AX15" s="180"/>
      <c r="AY15" s="180"/>
      <c r="AZ15" s="180"/>
      <c r="BA15" s="180"/>
      <c r="BB15" s="180"/>
      <c r="BC15" s="180"/>
      <c r="BD15" s="180"/>
      <c r="BE15" s="180"/>
      <c r="BF15" s="180"/>
      <c r="BG15" s="180"/>
      <c r="BH15" s="161" t="s">
        <v>51</v>
      </c>
      <c r="BI15" s="86"/>
      <c r="BJ15" s="86"/>
      <c r="BK15" s="86"/>
      <c r="BL15" s="86"/>
      <c r="BM15" s="86"/>
      <c r="BN15" s="86"/>
      <c r="BO15" s="86"/>
      <c r="BP15" s="86"/>
      <c r="BQ15" s="86"/>
      <c r="BR15" s="86"/>
      <c r="BS15" s="86"/>
      <c r="BT15" s="86"/>
      <c r="BU15" s="86"/>
      <c r="BV15" s="86"/>
      <c r="BW15" s="86"/>
      <c r="BX15" s="86"/>
      <c r="BY15" s="86"/>
      <c r="BZ15" s="86"/>
      <c r="CA15" s="86"/>
      <c r="CB15" s="86"/>
      <c r="CC15" s="86"/>
      <c r="CD15" s="86"/>
      <c r="CE15" s="86">
        <v>1</v>
      </c>
      <c r="CF15" s="86"/>
      <c r="CG15" s="86"/>
      <c r="CH15" s="86">
        <v>4</v>
      </c>
      <c r="CI15" s="86">
        <v>3</v>
      </c>
      <c r="CJ15" s="86"/>
      <c r="CK15" s="86"/>
      <c r="CL15" s="86"/>
      <c r="CM15" s="86">
        <f>1+1</f>
        <v>2</v>
      </c>
      <c r="CN15" s="86"/>
      <c r="CO15" s="86"/>
      <c r="CP15" s="86"/>
      <c r="CQ15" s="86"/>
      <c r="CR15" s="86"/>
      <c r="CS15" s="86"/>
      <c r="CT15" s="86"/>
      <c r="CU15" s="86"/>
      <c r="CV15" s="86"/>
      <c r="CW15" s="86"/>
      <c r="CX15" s="86">
        <f t="shared" si="0"/>
        <v>10</v>
      </c>
      <c r="CY15" s="86"/>
      <c r="CZ15" s="180"/>
    </row>
    <row r="16" spans="1:104" x14ac:dyDescent="0.45">
      <c r="A16" s="180" t="s">
        <v>43</v>
      </c>
      <c r="B16" s="73">
        <v>1</v>
      </c>
      <c r="C16" s="73">
        <v>1</v>
      </c>
      <c r="D16" s="180" t="s">
        <v>274</v>
      </c>
      <c r="E16" s="39">
        <v>43559</v>
      </c>
      <c r="F16" s="179">
        <v>0.31944444444444448</v>
      </c>
      <c r="G16" s="180">
        <v>1</v>
      </c>
      <c r="H16" s="180"/>
      <c r="I16" s="180"/>
      <c r="J16" s="180"/>
      <c r="K16" s="180"/>
      <c r="L16" s="180"/>
      <c r="M16" s="180"/>
      <c r="N16" s="180"/>
      <c r="O16" s="180"/>
      <c r="P16" s="180"/>
      <c r="AS16" s="180"/>
      <c r="AT16" s="180"/>
      <c r="AU16" s="180"/>
      <c r="AV16" s="180"/>
      <c r="AW16" s="180"/>
      <c r="AX16" s="180"/>
      <c r="AY16" s="180"/>
      <c r="AZ16" s="180"/>
      <c r="BA16" s="180"/>
      <c r="BB16" s="180"/>
      <c r="BC16" s="180"/>
      <c r="BD16" s="180"/>
      <c r="BE16" s="180"/>
      <c r="BF16" s="180"/>
      <c r="BG16" s="180"/>
      <c r="BH16" s="83" t="s">
        <v>42</v>
      </c>
      <c r="BI16" s="86"/>
      <c r="BJ16" s="86"/>
      <c r="BK16" s="86"/>
      <c r="BL16" s="86"/>
      <c r="BM16" s="86"/>
      <c r="BN16" s="86"/>
      <c r="BO16" s="86"/>
      <c r="BP16" s="86"/>
      <c r="BQ16" s="86"/>
      <c r="BR16" s="86"/>
      <c r="BS16" s="86"/>
      <c r="BT16" s="86">
        <v>2</v>
      </c>
      <c r="BU16" s="86">
        <v>1</v>
      </c>
      <c r="BV16" s="86">
        <v>1</v>
      </c>
      <c r="BW16" s="86">
        <v>1</v>
      </c>
      <c r="BX16" s="86">
        <v>1</v>
      </c>
      <c r="BY16" s="86">
        <v>1</v>
      </c>
      <c r="BZ16" s="86"/>
      <c r="CA16" s="86"/>
      <c r="CB16" s="86"/>
      <c r="CC16" s="86">
        <v>3</v>
      </c>
      <c r="CD16" s="86">
        <v>2</v>
      </c>
      <c r="CE16" s="86">
        <v>2</v>
      </c>
      <c r="CF16" s="86">
        <v>1</v>
      </c>
      <c r="CG16" s="86">
        <f>2+3</f>
        <v>5</v>
      </c>
      <c r="CH16" s="86">
        <v>1</v>
      </c>
      <c r="CI16" s="86"/>
      <c r="CJ16" s="86">
        <v>2</v>
      </c>
      <c r="CK16" s="86">
        <v>1</v>
      </c>
      <c r="CL16" s="86"/>
      <c r="CM16" s="86">
        <f>3+2+1</f>
        <v>6</v>
      </c>
      <c r="CN16" s="86"/>
      <c r="CO16" s="86"/>
      <c r="CP16" s="86"/>
      <c r="CQ16" s="86"/>
      <c r="CR16" s="86"/>
      <c r="CS16" s="86"/>
      <c r="CT16" s="86"/>
      <c r="CU16" s="86"/>
      <c r="CV16" s="86"/>
      <c r="CW16" s="86">
        <v>1</v>
      </c>
      <c r="CX16" s="86">
        <f t="shared" si="0"/>
        <v>31</v>
      </c>
      <c r="CY16" s="180"/>
      <c r="CZ16" s="180"/>
    </row>
    <row r="17" spans="1:104" x14ac:dyDescent="0.45">
      <c r="A17" s="180" t="s">
        <v>43</v>
      </c>
      <c r="B17" s="73">
        <v>1</v>
      </c>
      <c r="C17" s="73">
        <v>1</v>
      </c>
      <c r="D17" s="180" t="s">
        <v>275</v>
      </c>
      <c r="E17" s="39">
        <v>43566</v>
      </c>
      <c r="F17" s="179">
        <v>0.52083333333333337</v>
      </c>
      <c r="G17" s="180">
        <v>30</v>
      </c>
      <c r="H17" s="180" t="s">
        <v>276</v>
      </c>
      <c r="I17" s="180"/>
      <c r="J17" s="180"/>
      <c r="K17" s="180"/>
      <c r="L17" s="180"/>
      <c r="M17" s="180"/>
      <c r="N17" s="180"/>
      <c r="O17" s="180"/>
      <c r="P17" s="180"/>
      <c r="AS17" s="180"/>
      <c r="AT17" s="180"/>
      <c r="AU17" s="180"/>
      <c r="AV17" s="180"/>
      <c r="AW17" s="180"/>
      <c r="AX17" s="180"/>
      <c r="AY17" s="180"/>
      <c r="AZ17" s="180"/>
      <c r="BA17" s="180"/>
      <c r="BB17" s="180"/>
      <c r="BC17" s="180"/>
      <c r="BD17" s="180"/>
      <c r="BE17" s="180"/>
      <c r="BF17" s="180"/>
      <c r="BG17" s="180"/>
      <c r="BH17" s="3" t="s">
        <v>8</v>
      </c>
      <c r="BI17" s="86"/>
      <c r="BJ17" s="86"/>
      <c r="BK17" s="86"/>
      <c r="BL17" s="86"/>
      <c r="BM17" s="86"/>
      <c r="BN17" s="86"/>
      <c r="BO17" s="86"/>
      <c r="BP17" s="86"/>
      <c r="BQ17" s="86"/>
      <c r="BR17" s="86"/>
      <c r="BS17" s="86"/>
      <c r="BT17" s="86"/>
      <c r="BU17" s="86"/>
      <c r="BV17" s="86"/>
      <c r="BW17" s="86"/>
      <c r="BX17" s="86"/>
      <c r="BY17" s="86"/>
      <c r="BZ17" s="86"/>
      <c r="CA17" s="86"/>
      <c r="CB17" s="86"/>
      <c r="CC17" s="86">
        <v>4</v>
      </c>
      <c r="CD17" s="86"/>
      <c r="CE17" s="86">
        <v>1</v>
      </c>
      <c r="CF17" s="86">
        <f>6+2+1+7</f>
        <v>16</v>
      </c>
      <c r="CG17" s="86"/>
      <c r="CH17" s="86">
        <f>2+20</f>
        <v>22</v>
      </c>
      <c r="CI17" s="86">
        <v>1</v>
      </c>
      <c r="CJ17" s="86">
        <v>1</v>
      </c>
      <c r="CK17" s="86"/>
      <c r="CL17" s="86"/>
      <c r="CM17" s="86">
        <f>11+1+2</f>
        <v>14</v>
      </c>
      <c r="CN17" s="86">
        <v>15</v>
      </c>
      <c r="CO17" s="86"/>
      <c r="CP17" s="86"/>
      <c r="CQ17" s="86"/>
      <c r="CR17" s="86">
        <f>2+16</f>
        <v>18</v>
      </c>
      <c r="CS17" s="86"/>
      <c r="CT17" s="86"/>
      <c r="CU17" s="86"/>
      <c r="CV17" s="86"/>
      <c r="CW17" s="86"/>
      <c r="CX17" s="86">
        <f t="shared" si="0"/>
        <v>92</v>
      </c>
      <c r="CY17" s="180"/>
      <c r="CZ17" s="180"/>
    </row>
    <row r="18" spans="1:104" x14ac:dyDescent="0.45">
      <c r="A18" s="180" t="s">
        <v>43</v>
      </c>
      <c r="B18" s="73">
        <v>3</v>
      </c>
      <c r="C18" s="73">
        <v>3</v>
      </c>
      <c r="D18" s="180" t="s">
        <v>277</v>
      </c>
      <c r="E18" s="39">
        <v>43574</v>
      </c>
      <c r="F18" s="179">
        <v>0.75</v>
      </c>
      <c r="G18" s="180">
        <v>1</v>
      </c>
      <c r="H18" s="180"/>
      <c r="I18" s="180"/>
      <c r="J18" s="180"/>
      <c r="K18" s="180"/>
      <c r="L18" s="180"/>
      <c r="M18" s="180"/>
      <c r="N18" s="180"/>
      <c r="O18" s="180"/>
      <c r="P18" s="180"/>
      <c r="AS18" s="180"/>
      <c r="AT18" s="180"/>
      <c r="AU18" s="180"/>
      <c r="AV18" s="180"/>
      <c r="AW18" s="180"/>
      <c r="AX18" s="180"/>
      <c r="AY18" s="180"/>
      <c r="AZ18" s="180"/>
      <c r="BA18" s="180"/>
      <c r="BB18" s="180"/>
      <c r="BC18" s="180"/>
      <c r="BD18" s="180"/>
      <c r="BE18" s="180"/>
      <c r="BF18" s="180"/>
      <c r="BG18" s="180"/>
      <c r="BH18" s="3" t="s">
        <v>9</v>
      </c>
      <c r="BI18" s="86"/>
      <c r="BJ18" s="86"/>
      <c r="BK18" s="86">
        <v>2</v>
      </c>
      <c r="BL18" s="86"/>
      <c r="BM18" s="86"/>
      <c r="BN18" s="86"/>
      <c r="BO18" s="86"/>
      <c r="BP18" s="86"/>
      <c r="BQ18" s="86"/>
      <c r="BR18" s="86"/>
      <c r="BS18" s="86">
        <f>8+16</f>
        <v>24</v>
      </c>
      <c r="BT18" s="86"/>
      <c r="BU18" s="86"/>
      <c r="BV18" s="86"/>
      <c r="BW18" s="86"/>
      <c r="BX18" s="86">
        <v>16</v>
      </c>
      <c r="BY18" s="86"/>
      <c r="BZ18" s="86">
        <v>30</v>
      </c>
      <c r="CA18" s="86">
        <v>4</v>
      </c>
      <c r="CB18" s="86"/>
      <c r="CC18" s="86">
        <f>70+300+1+350</f>
        <v>721</v>
      </c>
      <c r="CD18" s="86">
        <f>15+38+175</f>
        <v>228</v>
      </c>
      <c r="CE18" s="86">
        <f>80+200</f>
        <v>280</v>
      </c>
      <c r="CF18" s="86">
        <f>95+8+15+26+35+50+106</f>
        <v>335</v>
      </c>
      <c r="CG18" s="86">
        <f>200+300+1</f>
        <v>501</v>
      </c>
      <c r="CH18" s="86">
        <f>275+5+400</f>
        <v>680</v>
      </c>
      <c r="CI18" s="86">
        <v>90</v>
      </c>
      <c r="CJ18" s="86">
        <v>3</v>
      </c>
      <c r="CK18" s="86"/>
      <c r="CL18" s="86"/>
      <c r="CM18" s="86">
        <v>2</v>
      </c>
      <c r="CN18" s="86"/>
      <c r="CO18" s="86"/>
      <c r="CP18" s="86"/>
      <c r="CQ18" s="86"/>
      <c r="CR18" s="86">
        <f>57+30</f>
        <v>87</v>
      </c>
      <c r="CS18" s="86"/>
      <c r="CT18" s="86"/>
      <c r="CU18" s="86"/>
      <c r="CV18" s="86">
        <v>2</v>
      </c>
      <c r="CW18" s="86"/>
      <c r="CX18" s="86">
        <f t="shared" si="0"/>
        <v>3005</v>
      </c>
      <c r="CY18" s="180"/>
      <c r="CZ18" s="180"/>
    </row>
    <row r="19" spans="1:104" x14ac:dyDescent="0.45">
      <c r="A19" s="180" t="s">
        <v>43</v>
      </c>
      <c r="B19" s="73">
        <v>2</v>
      </c>
      <c r="C19" s="73">
        <v>2</v>
      </c>
      <c r="D19" s="180" t="s">
        <v>274</v>
      </c>
      <c r="E19" s="39">
        <v>43577</v>
      </c>
      <c r="F19" s="179">
        <v>0.38125000000000003</v>
      </c>
      <c r="G19" s="180">
        <v>1</v>
      </c>
      <c r="H19" s="180"/>
      <c r="I19" s="180"/>
      <c r="J19" s="180"/>
      <c r="K19" s="180"/>
      <c r="L19" s="180"/>
      <c r="M19" s="180"/>
      <c r="N19" s="180"/>
      <c r="O19" s="180"/>
      <c r="P19" s="180"/>
      <c r="AS19" s="180"/>
      <c r="AT19" s="180"/>
      <c r="AU19" s="180"/>
      <c r="AV19" s="180"/>
      <c r="AW19" s="180"/>
      <c r="AX19" s="180"/>
      <c r="AY19" s="180"/>
      <c r="AZ19" s="180"/>
      <c r="BA19" s="180"/>
      <c r="BB19" s="180"/>
      <c r="BC19" s="180"/>
      <c r="BD19" s="180"/>
      <c r="BE19" s="180"/>
      <c r="BF19" s="180"/>
      <c r="BG19" s="180"/>
      <c r="BH19" s="83" t="s">
        <v>44</v>
      </c>
      <c r="BI19" s="86"/>
      <c r="BJ19" s="86"/>
      <c r="BK19" s="86"/>
      <c r="BL19" s="86"/>
      <c r="BM19" s="86"/>
      <c r="BN19" s="86"/>
      <c r="BO19" s="86"/>
      <c r="BP19" s="86"/>
      <c r="BQ19" s="86"/>
      <c r="BR19" s="86"/>
      <c r="BS19" s="86"/>
      <c r="BT19" s="86"/>
      <c r="BU19" s="86"/>
      <c r="BV19" s="86">
        <v>1</v>
      </c>
      <c r="BW19" s="86"/>
      <c r="BX19" s="86"/>
      <c r="BY19" s="86">
        <v>1</v>
      </c>
      <c r="BZ19" s="86"/>
      <c r="CA19" s="86"/>
      <c r="CB19" s="86"/>
      <c r="CC19" s="86">
        <v>2</v>
      </c>
      <c r="CD19" s="86"/>
      <c r="CE19" s="86">
        <v>2</v>
      </c>
      <c r="CF19" s="86">
        <v>4</v>
      </c>
      <c r="CG19" s="86"/>
      <c r="CH19" s="86">
        <v>1</v>
      </c>
      <c r="CI19" s="86"/>
      <c r="CJ19" s="86"/>
      <c r="CK19" s="86"/>
      <c r="CL19" s="86"/>
      <c r="CM19" s="86"/>
      <c r="CN19" s="86"/>
      <c r="CO19" s="86"/>
      <c r="CP19" s="86"/>
      <c r="CQ19" s="86"/>
      <c r="CR19" s="86">
        <v>1</v>
      </c>
      <c r="CS19" s="86"/>
      <c r="CT19" s="86"/>
      <c r="CU19" s="86"/>
      <c r="CV19" s="86"/>
      <c r="CW19" s="86">
        <v>3</v>
      </c>
      <c r="CX19" s="86">
        <f t="shared" si="0"/>
        <v>15</v>
      </c>
      <c r="CY19" s="180"/>
      <c r="CZ19" s="180"/>
    </row>
    <row r="20" spans="1:104" s="180" customFormat="1" x14ac:dyDescent="0.45">
      <c r="A20" s="180" t="s">
        <v>43</v>
      </c>
      <c r="B20" s="73">
        <v>2</v>
      </c>
      <c r="C20" s="73">
        <v>2</v>
      </c>
      <c r="D20" s="180" t="s">
        <v>278</v>
      </c>
      <c r="E20" s="39">
        <v>43578</v>
      </c>
      <c r="F20" s="179">
        <v>0.4375</v>
      </c>
      <c r="BH20" s="83"/>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row>
    <row r="21" spans="1:104" x14ac:dyDescent="0.45">
      <c r="A21" s="180" t="s">
        <v>43</v>
      </c>
      <c r="B21" s="73">
        <v>3</v>
      </c>
      <c r="C21" s="73">
        <v>3</v>
      </c>
      <c r="D21" s="180" t="s">
        <v>278</v>
      </c>
      <c r="E21" s="39">
        <v>43583</v>
      </c>
      <c r="F21" s="179">
        <v>0.4375</v>
      </c>
      <c r="G21" s="180">
        <v>1</v>
      </c>
      <c r="H21" s="180" t="s">
        <v>279</v>
      </c>
      <c r="I21" s="180"/>
      <c r="J21" s="180"/>
      <c r="K21" s="180"/>
      <c r="L21" s="180"/>
      <c r="M21" s="180"/>
      <c r="N21" s="180"/>
      <c r="O21" s="180"/>
      <c r="P21" s="180"/>
      <c r="AS21" s="180"/>
      <c r="AT21" s="180"/>
      <c r="AU21" s="180"/>
      <c r="AV21" s="180"/>
      <c r="AW21" s="180"/>
      <c r="AX21" s="180"/>
      <c r="AY21" s="180"/>
      <c r="AZ21" s="180"/>
      <c r="BA21" s="180"/>
      <c r="BB21" s="180"/>
      <c r="BC21" s="180"/>
      <c r="BD21" s="180"/>
      <c r="BE21" s="180"/>
      <c r="BF21" s="180"/>
      <c r="BG21" s="180"/>
      <c r="BH21" s="3" t="s">
        <v>10</v>
      </c>
      <c r="BI21" s="86"/>
      <c r="BJ21" s="86"/>
      <c r="BK21" s="86"/>
      <c r="BL21" s="86"/>
      <c r="BM21" s="86"/>
      <c r="BN21" s="86"/>
      <c r="BO21" s="86"/>
      <c r="BP21" s="86"/>
      <c r="BQ21" s="86"/>
      <c r="BR21" s="86"/>
      <c r="BS21" s="86"/>
      <c r="BT21" s="86"/>
      <c r="BU21" s="86"/>
      <c r="BV21" s="86"/>
      <c r="BW21" s="86"/>
      <c r="BX21" s="86">
        <v>2</v>
      </c>
      <c r="BY21" s="86"/>
      <c r="BZ21" s="86">
        <v>2</v>
      </c>
      <c r="CA21" s="86"/>
      <c r="CB21" s="86"/>
      <c r="CC21" s="86">
        <f>14+1</f>
        <v>15</v>
      </c>
      <c r="CD21" s="86">
        <f>8+1</f>
        <v>9</v>
      </c>
      <c r="CE21" s="86">
        <f>2+24</f>
        <v>26</v>
      </c>
      <c r="CF21" s="86">
        <f>1+12+50+5+20+25</f>
        <v>113</v>
      </c>
      <c r="CG21" s="86">
        <f>25+3+1</f>
        <v>29</v>
      </c>
      <c r="CH21" s="86">
        <f>2+1+12</f>
        <v>15</v>
      </c>
      <c r="CI21" s="86">
        <v>30</v>
      </c>
      <c r="CJ21" s="86"/>
      <c r="CK21" s="86"/>
      <c r="CL21" s="86"/>
      <c r="CM21" s="86">
        <f>40+40</f>
        <v>80</v>
      </c>
      <c r="CN21" s="86"/>
      <c r="CO21" s="86"/>
      <c r="CP21" s="86"/>
      <c r="CQ21" s="86"/>
      <c r="CR21" s="86">
        <v>10</v>
      </c>
      <c r="CS21" s="86"/>
      <c r="CT21" s="86"/>
      <c r="CU21" s="86"/>
      <c r="CV21" s="86"/>
      <c r="CW21" s="86"/>
      <c r="CX21" s="86">
        <f t="shared" si="0"/>
        <v>331</v>
      </c>
      <c r="CY21" s="180"/>
      <c r="CZ21" s="180"/>
    </row>
    <row r="22" spans="1:104" x14ac:dyDescent="0.45">
      <c r="A22" s="180" t="s">
        <v>43</v>
      </c>
      <c r="B22" s="73">
        <v>1</v>
      </c>
      <c r="C22" s="73">
        <v>1</v>
      </c>
      <c r="D22" s="180" t="s">
        <v>274</v>
      </c>
      <c r="E22" s="39">
        <v>43586</v>
      </c>
      <c r="F22" s="179">
        <v>0.39097222222222222</v>
      </c>
      <c r="G22" s="180">
        <v>1</v>
      </c>
      <c r="H22" s="180"/>
      <c r="I22" s="180"/>
      <c r="J22" s="180"/>
      <c r="K22" s="180"/>
      <c r="L22" s="180"/>
      <c r="M22" s="180"/>
      <c r="N22" s="180"/>
      <c r="O22" s="180"/>
      <c r="P22" s="180"/>
      <c r="AS22" s="180"/>
      <c r="AT22" s="180"/>
      <c r="AU22" s="180"/>
      <c r="AV22" s="180"/>
      <c r="AW22" s="180"/>
      <c r="AX22" s="180"/>
      <c r="AY22" s="180"/>
      <c r="AZ22" s="180"/>
      <c r="BA22" s="180"/>
      <c r="BB22" s="180"/>
      <c r="BC22" s="180"/>
      <c r="BD22" s="180"/>
      <c r="BE22" s="180"/>
      <c r="BF22" s="180"/>
      <c r="BG22" s="180"/>
      <c r="BH22" s="3" t="s">
        <v>11</v>
      </c>
      <c r="BI22" s="86"/>
      <c r="BJ22" s="86"/>
      <c r="BK22" s="86"/>
      <c r="BL22" s="86"/>
      <c r="BM22" s="86"/>
      <c r="BN22" s="86"/>
      <c r="BO22" s="86"/>
      <c r="BP22" s="86"/>
      <c r="BQ22" s="86"/>
      <c r="BR22" s="86">
        <v>1</v>
      </c>
      <c r="BS22" s="86">
        <v>1</v>
      </c>
      <c r="BT22" s="86"/>
      <c r="BU22" s="86">
        <v>6</v>
      </c>
      <c r="BV22" s="86">
        <f>8+11</f>
        <v>19</v>
      </c>
      <c r="BW22" s="86">
        <v>25</v>
      </c>
      <c r="BX22" s="86">
        <f>30+20</f>
        <v>50</v>
      </c>
      <c r="BY22" s="86">
        <v>14</v>
      </c>
      <c r="BZ22" s="86"/>
      <c r="CA22" s="86">
        <v>4</v>
      </c>
      <c r="CB22" s="180"/>
      <c r="CC22" s="86">
        <f>200+26+60+1000+525</f>
        <v>1811</v>
      </c>
      <c r="CD22" s="86">
        <f>40+30+1900+6000</f>
        <v>7970</v>
      </c>
      <c r="CE22" s="86">
        <f>5000+19+12+30+500+900</f>
        <v>6461</v>
      </c>
      <c r="CF22" s="86">
        <f>400+10+100+150+600</f>
        <v>1260</v>
      </c>
      <c r="CG22" s="86">
        <f>1000+1500+35+200+1+1+1</f>
        <v>2738</v>
      </c>
      <c r="CH22" s="86">
        <f>160+110+600+2000+75</f>
        <v>2945</v>
      </c>
      <c r="CI22" s="86">
        <f>300+40</f>
        <v>340</v>
      </c>
      <c r="CJ22" s="86">
        <f>7000+3+40+2500+150000</f>
        <v>159543</v>
      </c>
      <c r="CK22" s="86">
        <f>30+40+38</f>
        <v>108</v>
      </c>
      <c r="CL22" s="86">
        <v>10</v>
      </c>
      <c r="CM22" s="86">
        <f>12+1+2400+30</f>
        <v>2443</v>
      </c>
      <c r="CN22" s="86">
        <f>6+100</f>
        <v>106</v>
      </c>
      <c r="CO22" s="86"/>
      <c r="CP22" s="86">
        <v>16</v>
      </c>
      <c r="CQ22" s="86">
        <v>30</v>
      </c>
      <c r="CR22" s="86">
        <f>19+53+100+40</f>
        <v>212</v>
      </c>
      <c r="CS22" s="86"/>
      <c r="CT22" s="86">
        <f>5+20</f>
        <v>25</v>
      </c>
      <c r="CU22" s="86"/>
      <c r="CV22" s="86"/>
      <c r="CW22" s="86">
        <f>11+15+10</f>
        <v>36</v>
      </c>
      <c r="CX22" s="86">
        <f t="shared" si="0"/>
        <v>186174</v>
      </c>
      <c r="CY22" s="180"/>
      <c r="CZ22" s="180"/>
    </row>
    <row r="23" spans="1:104" x14ac:dyDescent="0.45">
      <c r="A23" s="180" t="s">
        <v>43</v>
      </c>
      <c r="B23" s="73">
        <v>3</v>
      </c>
      <c r="C23" s="73">
        <v>3</v>
      </c>
      <c r="D23" s="180" t="s">
        <v>278</v>
      </c>
      <c r="E23" s="39">
        <v>43593</v>
      </c>
      <c r="F23" s="180"/>
      <c r="G23" s="180"/>
      <c r="H23" s="180" t="s">
        <v>280</v>
      </c>
      <c r="I23" s="180"/>
      <c r="J23" s="180"/>
      <c r="K23" s="180"/>
      <c r="L23" s="180"/>
      <c r="M23" s="180"/>
      <c r="N23" s="180"/>
      <c r="O23" s="180"/>
      <c r="P23" s="180"/>
      <c r="AS23" s="180"/>
      <c r="AT23" s="180"/>
      <c r="AU23" s="180"/>
      <c r="AV23" s="180"/>
      <c r="AW23" s="180"/>
      <c r="AX23" s="180"/>
      <c r="AY23" s="180"/>
      <c r="AZ23" s="180"/>
      <c r="BA23" s="180"/>
      <c r="BB23" s="180"/>
      <c r="BC23" s="180"/>
      <c r="BD23" s="180"/>
      <c r="BE23" s="180"/>
      <c r="BF23" s="180"/>
      <c r="BG23" s="180"/>
      <c r="BH23" s="3" t="s">
        <v>12</v>
      </c>
      <c r="BI23" s="86"/>
      <c r="BJ23" s="86"/>
      <c r="BK23" s="86"/>
      <c r="BL23" s="86"/>
      <c r="BM23" s="86"/>
      <c r="BN23" s="86"/>
      <c r="BO23" s="86"/>
      <c r="BP23" s="86"/>
      <c r="BQ23" s="86"/>
      <c r="BR23" s="86">
        <v>1</v>
      </c>
      <c r="BS23" s="86"/>
      <c r="BT23" s="86"/>
      <c r="BU23" s="86"/>
      <c r="BV23" s="86">
        <v>6</v>
      </c>
      <c r="BW23" s="86">
        <v>1</v>
      </c>
      <c r="BX23" s="86">
        <f>3+1</f>
        <v>4</v>
      </c>
      <c r="BY23" s="86">
        <v>1</v>
      </c>
      <c r="BZ23" s="86"/>
      <c r="CA23" s="86">
        <v>1</v>
      </c>
      <c r="CB23" s="86">
        <v>4</v>
      </c>
      <c r="CC23" s="86">
        <f>2+22+3</f>
        <v>27</v>
      </c>
      <c r="CD23" s="86">
        <f>10+20+30+90+75</f>
        <v>225</v>
      </c>
      <c r="CE23" s="86">
        <f>1+5+150+100+10</f>
        <v>266</v>
      </c>
      <c r="CF23" s="86">
        <f>25+2+3+60+6</f>
        <v>96</v>
      </c>
      <c r="CG23" s="86">
        <f>3+55+5+4</f>
        <v>67</v>
      </c>
      <c r="CH23" s="86">
        <f>11+32+6+5</f>
        <v>54</v>
      </c>
      <c r="CI23" s="86">
        <v>20</v>
      </c>
      <c r="CJ23" s="86">
        <f>4+50+12+10</f>
        <v>76</v>
      </c>
      <c r="CK23" s="86">
        <v>1</v>
      </c>
      <c r="CL23" s="86">
        <f>3+21</f>
        <v>24</v>
      </c>
      <c r="CM23" s="86">
        <f>12+3</f>
        <v>15</v>
      </c>
      <c r="CN23" s="86">
        <v>5</v>
      </c>
      <c r="CO23" s="86"/>
      <c r="CP23" s="86">
        <v>11</v>
      </c>
      <c r="CQ23" s="86"/>
      <c r="CR23" s="86">
        <f>5+1</f>
        <v>6</v>
      </c>
      <c r="CS23" s="86">
        <v>6</v>
      </c>
      <c r="CT23" s="86">
        <v>1</v>
      </c>
      <c r="CU23" s="86"/>
      <c r="CV23" s="86"/>
      <c r="CW23" s="86"/>
      <c r="CX23" s="86">
        <f t="shared" si="0"/>
        <v>918</v>
      </c>
      <c r="CY23" s="180"/>
      <c r="CZ23" s="180"/>
    </row>
    <row r="24" spans="1:104" x14ac:dyDescent="0.45">
      <c r="A24" s="180" t="s">
        <v>43</v>
      </c>
      <c r="B24" s="73">
        <v>1</v>
      </c>
      <c r="C24" s="73">
        <v>1</v>
      </c>
      <c r="D24" s="180" t="s">
        <v>281</v>
      </c>
      <c r="E24" s="39">
        <v>43593</v>
      </c>
      <c r="F24" s="180"/>
      <c r="G24" s="180"/>
      <c r="H24" s="180" t="s">
        <v>280</v>
      </c>
      <c r="I24" s="180"/>
      <c r="J24" s="180"/>
      <c r="K24" s="180"/>
      <c r="L24" s="180"/>
      <c r="M24" s="180"/>
      <c r="N24" s="180"/>
      <c r="O24" s="180"/>
      <c r="P24" s="180"/>
      <c r="AS24" s="180"/>
      <c r="AT24" s="180"/>
      <c r="AU24" s="180"/>
      <c r="AV24" s="180"/>
      <c r="AW24" s="180"/>
      <c r="AX24" s="180"/>
      <c r="AY24" s="180"/>
      <c r="AZ24" s="180"/>
      <c r="BA24" s="180"/>
      <c r="BB24" s="180"/>
      <c r="BC24" s="180"/>
      <c r="BD24" s="180"/>
      <c r="BE24" s="180"/>
      <c r="BF24" s="180"/>
      <c r="BG24" s="180"/>
      <c r="BH24" s="83" t="s">
        <v>32</v>
      </c>
      <c r="BI24" s="86"/>
      <c r="BJ24" s="86"/>
      <c r="BK24" s="86"/>
      <c r="BL24" s="86"/>
      <c r="BM24" s="86"/>
      <c r="BN24" s="86"/>
      <c r="BO24" s="86"/>
      <c r="BP24" s="86"/>
      <c r="BQ24" s="86"/>
      <c r="BR24" s="86"/>
      <c r="BS24" s="86"/>
      <c r="BT24" s="86"/>
      <c r="BU24" s="86"/>
      <c r="BV24" s="86"/>
      <c r="BW24" s="86"/>
      <c r="BX24" s="86"/>
      <c r="BY24" s="86"/>
      <c r="BZ24" s="86"/>
      <c r="CA24" s="86"/>
      <c r="CB24" s="86"/>
      <c r="CC24" s="86">
        <f>1+4</f>
        <v>5</v>
      </c>
      <c r="CD24" s="86">
        <f>6+1</f>
        <v>7</v>
      </c>
      <c r="CE24" s="86">
        <f>4+9</f>
        <v>13</v>
      </c>
      <c r="CF24" s="86"/>
      <c r="CG24" s="86"/>
      <c r="CH24" s="86"/>
      <c r="CI24" s="86"/>
      <c r="CJ24" s="86"/>
      <c r="CK24" s="86"/>
      <c r="CL24" s="86"/>
      <c r="CM24" s="86"/>
      <c r="CN24" s="86"/>
      <c r="CO24" s="86"/>
      <c r="CP24" s="86"/>
      <c r="CQ24" s="86"/>
      <c r="CR24" s="86"/>
      <c r="CS24" s="86"/>
      <c r="CT24" s="86"/>
      <c r="CU24" s="86"/>
      <c r="CV24" s="86"/>
      <c r="CW24" s="86"/>
      <c r="CX24" s="86">
        <f t="shared" si="0"/>
        <v>25</v>
      </c>
      <c r="CY24" s="180"/>
      <c r="CZ24" s="180"/>
    </row>
    <row r="25" spans="1:104" x14ac:dyDescent="0.45">
      <c r="A25" s="180" t="s">
        <v>43</v>
      </c>
      <c r="B25" s="73">
        <v>2</v>
      </c>
      <c r="C25" s="73"/>
      <c r="D25" s="180" t="s">
        <v>282</v>
      </c>
      <c r="E25" s="39">
        <v>43593</v>
      </c>
      <c r="F25" s="179">
        <v>0.375</v>
      </c>
      <c r="G25" s="180">
        <v>6</v>
      </c>
      <c r="H25" s="180" t="s">
        <v>283</v>
      </c>
      <c r="I25" s="180"/>
      <c r="J25" s="180"/>
      <c r="K25" s="180"/>
      <c r="L25" s="180"/>
      <c r="M25" s="180"/>
      <c r="N25" s="180"/>
      <c r="O25" s="180"/>
      <c r="P25" s="180"/>
      <c r="AS25" s="180"/>
      <c r="AT25" s="180"/>
      <c r="AU25" s="180"/>
      <c r="AV25" s="180"/>
      <c r="AW25" s="180"/>
      <c r="AX25" s="180"/>
      <c r="AY25" s="180"/>
      <c r="AZ25" s="180"/>
      <c r="BA25" s="180"/>
      <c r="BB25" s="180"/>
      <c r="BC25" s="180"/>
      <c r="BD25" s="180"/>
      <c r="BE25" s="180"/>
      <c r="BF25" s="180"/>
      <c r="BG25" s="180"/>
      <c r="BH25" s="101" t="s">
        <v>190</v>
      </c>
      <c r="BI25" s="86"/>
      <c r="BJ25" s="86"/>
      <c r="BK25" s="86"/>
      <c r="BL25" s="86"/>
      <c r="BM25" s="86"/>
      <c r="BN25" s="86"/>
      <c r="BO25" s="86"/>
      <c r="BP25" s="86"/>
      <c r="BQ25" s="86"/>
      <c r="BR25" s="86"/>
      <c r="BS25" s="86"/>
      <c r="BT25" s="86"/>
      <c r="BU25" s="86"/>
      <c r="BV25" s="86"/>
      <c r="BW25" s="86"/>
      <c r="BX25" s="86"/>
      <c r="BY25" s="86">
        <v>20</v>
      </c>
      <c r="BZ25" s="86"/>
      <c r="CA25" s="86">
        <v>15</v>
      </c>
      <c r="CB25" s="86"/>
      <c r="CC25" s="86">
        <f>40+85+2500</f>
        <v>2625</v>
      </c>
      <c r="CD25" s="86">
        <f>40+5+25</f>
        <v>70</v>
      </c>
      <c r="CE25" s="86">
        <f>13+1500+25</f>
        <v>1538</v>
      </c>
      <c r="CF25" s="86">
        <f>1500+400</f>
        <v>1900</v>
      </c>
      <c r="CG25" s="86">
        <f>12+50</f>
        <v>62</v>
      </c>
      <c r="CH25" s="86">
        <f>150+70</f>
        <v>220</v>
      </c>
      <c r="CI25" s="86">
        <f>3000+500</f>
        <v>3500</v>
      </c>
      <c r="CJ25" s="86">
        <f>5000+200</f>
        <v>5200</v>
      </c>
      <c r="CK25" s="86">
        <f>2+3+3000</f>
        <v>3005</v>
      </c>
      <c r="CL25" s="86">
        <f>25+1800</f>
        <v>1825</v>
      </c>
      <c r="CM25" s="86">
        <f>50+260</f>
        <v>310</v>
      </c>
      <c r="CN25" s="86"/>
      <c r="CO25" s="86"/>
      <c r="CP25" s="86"/>
      <c r="CQ25" s="86"/>
      <c r="CR25" s="86">
        <v>30</v>
      </c>
      <c r="CS25" s="86">
        <v>20</v>
      </c>
      <c r="CT25" s="86">
        <v>20</v>
      </c>
      <c r="CU25" s="86"/>
      <c r="CV25" s="86"/>
      <c r="CW25" s="86"/>
      <c r="CX25" s="86">
        <f t="shared" si="0"/>
        <v>20360</v>
      </c>
      <c r="CY25" s="180"/>
      <c r="CZ25" s="180"/>
    </row>
    <row r="26" spans="1:104" x14ac:dyDescent="0.45">
      <c r="A26" s="180" t="s">
        <v>43</v>
      </c>
      <c r="B26" s="73">
        <v>1</v>
      </c>
      <c r="C26" s="73"/>
      <c r="D26" s="180" t="s">
        <v>284</v>
      </c>
      <c r="E26" s="39">
        <v>43593</v>
      </c>
      <c r="F26" s="179">
        <v>0.48680555555555555</v>
      </c>
      <c r="G26" s="180">
        <v>1</v>
      </c>
      <c r="H26" s="180"/>
      <c r="I26" s="180" t="s">
        <v>285</v>
      </c>
      <c r="J26" s="180"/>
      <c r="K26" s="180"/>
      <c r="L26" s="180"/>
      <c r="M26" s="180"/>
      <c r="N26" s="180"/>
      <c r="O26" s="180"/>
      <c r="P26" s="180"/>
      <c r="AS26" s="180"/>
      <c r="AT26" s="180"/>
      <c r="AU26" s="180"/>
      <c r="AV26" s="180"/>
      <c r="AW26" s="180"/>
      <c r="AX26" s="180"/>
      <c r="AY26" s="180"/>
      <c r="AZ26" s="180"/>
      <c r="BA26" s="180"/>
      <c r="BB26" s="180"/>
      <c r="BC26" s="180"/>
      <c r="BD26" s="180"/>
      <c r="BE26" s="180"/>
      <c r="BF26" s="180"/>
      <c r="BG26" s="180"/>
      <c r="BH26" s="3" t="s">
        <v>13</v>
      </c>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f>1+1</f>
        <v>2</v>
      </c>
      <c r="CH26" s="86">
        <v>6</v>
      </c>
      <c r="CI26" s="86"/>
      <c r="CJ26" s="86">
        <f>3+2</f>
        <v>5</v>
      </c>
      <c r="CK26" s="86">
        <v>77</v>
      </c>
      <c r="CL26" s="86"/>
      <c r="CM26" s="86">
        <v>6</v>
      </c>
      <c r="CN26" s="86">
        <v>3</v>
      </c>
      <c r="CO26" s="86"/>
      <c r="CP26" s="86"/>
      <c r="CQ26" s="86">
        <v>1</v>
      </c>
      <c r="CR26" s="86"/>
      <c r="CS26" s="86">
        <v>2</v>
      </c>
      <c r="CT26" s="86"/>
      <c r="CU26" s="86"/>
      <c r="CV26" s="86"/>
      <c r="CW26" s="86">
        <v>9</v>
      </c>
      <c r="CX26" s="86">
        <f t="shared" si="0"/>
        <v>111</v>
      </c>
      <c r="CY26" s="180"/>
      <c r="CZ26" s="180"/>
    </row>
    <row r="27" spans="1:104" x14ac:dyDescent="0.45">
      <c r="A27" s="180" t="s">
        <v>43</v>
      </c>
      <c r="B27" s="73">
        <v>1</v>
      </c>
      <c r="C27" s="73"/>
      <c r="D27" s="180" t="s">
        <v>286</v>
      </c>
      <c r="E27" s="39">
        <v>43593</v>
      </c>
      <c r="F27" s="179">
        <v>0.35833333333333334</v>
      </c>
      <c r="G27" s="180">
        <v>1</v>
      </c>
      <c r="H27" s="180" t="s">
        <v>287</v>
      </c>
      <c r="I27" s="180"/>
      <c r="J27" s="180"/>
      <c r="K27" s="180"/>
      <c r="L27" s="180"/>
      <c r="M27" s="180"/>
      <c r="N27" s="180"/>
      <c r="O27" s="180"/>
      <c r="P27" s="180"/>
      <c r="AS27" s="180"/>
      <c r="AT27" s="180"/>
      <c r="AU27" s="180"/>
      <c r="AV27" s="180"/>
      <c r="AW27" s="180"/>
      <c r="AX27" s="180"/>
      <c r="AY27" s="180"/>
      <c r="AZ27" s="180"/>
      <c r="BA27" s="180"/>
      <c r="BB27" s="180"/>
      <c r="BC27" s="180"/>
      <c r="BD27" s="180"/>
      <c r="BE27" s="180"/>
      <c r="BF27" s="180"/>
      <c r="BG27" s="180"/>
      <c r="BH27" s="3" t="s">
        <v>14</v>
      </c>
      <c r="BI27" s="86"/>
      <c r="BJ27" s="86"/>
      <c r="BK27" s="86"/>
      <c r="BL27" s="86"/>
      <c r="BM27" s="86"/>
      <c r="BN27" s="86"/>
      <c r="BO27" s="86"/>
      <c r="BP27" s="86"/>
      <c r="BQ27" s="86"/>
      <c r="BR27" s="86"/>
      <c r="BS27" s="86"/>
      <c r="BT27" s="86"/>
      <c r="BU27" s="86"/>
      <c r="BV27" s="86">
        <f>8+5</f>
        <v>13</v>
      </c>
      <c r="BW27" s="86">
        <v>15</v>
      </c>
      <c r="BX27" s="86">
        <f>5+4</f>
        <v>9</v>
      </c>
      <c r="BY27" s="86">
        <v>25</v>
      </c>
      <c r="BZ27" s="86"/>
      <c r="CA27" s="86">
        <v>1</v>
      </c>
      <c r="CB27" s="86"/>
      <c r="CC27" s="86">
        <f>10+40+1000+33</f>
        <v>1083</v>
      </c>
      <c r="CD27" s="86">
        <f>2+100+500+5</f>
        <v>607</v>
      </c>
      <c r="CE27" s="86">
        <f>900+11+10+75+1</f>
        <v>997</v>
      </c>
      <c r="CF27" s="86">
        <f>5+80+400+100+50</f>
        <v>635</v>
      </c>
      <c r="CG27" s="86">
        <f>13+500+3+13+5</f>
        <v>534</v>
      </c>
      <c r="CH27" s="86">
        <f>14+3+40+200+6</f>
        <v>263</v>
      </c>
      <c r="CI27" s="86">
        <v>100</v>
      </c>
      <c r="CJ27" s="86">
        <f>40+200+400+6000</f>
        <v>6640</v>
      </c>
      <c r="CK27" s="86">
        <f>2+3</f>
        <v>5</v>
      </c>
      <c r="CL27" s="86">
        <v>1</v>
      </c>
      <c r="CM27" s="86">
        <f>10+100+16</f>
        <v>126</v>
      </c>
      <c r="CN27" s="86">
        <v>2</v>
      </c>
      <c r="CO27" s="86"/>
      <c r="CP27" s="86"/>
      <c r="CQ27" s="86">
        <v>2</v>
      </c>
      <c r="CR27" s="86">
        <f>13+4+2</f>
        <v>19</v>
      </c>
      <c r="CS27" s="86"/>
      <c r="CT27" s="86">
        <v>15</v>
      </c>
      <c r="CU27" s="86"/>
      <c r="CV27" s="86"/>
      <c r="CW27" s="86"/>
      <c r="CX27" s="86">
        <f t="shared" si="0"/>
        <v>11092</v>
      </c>
      <c r="CY27" s="180"/>
      <c r="CZ27" s="180"/>
    </row>
    <row r="28" spans="1:104" x14ac:dyDescent="0.45">
      <c r="A28" s="180" t="s">
        <v>43</v>
      </c>
      <c r="B28" s="73">
        <v>2</v>
      </c>
      <c r="C28" s="73">
        <v>2</v>
      </c>
      <c r="D28" s="180" t="s">
        <v>288</v>
      </c>
      <c r="E28" s="39">
        <v>43594</v>
      </c>
      <c r="F28" s="179">
        <v>0.65833333333333333</v>
      </c>
      <c r="G28" s="180">
        <v>8</v>
      </c>
      <c r="H28" s="180"/>
      <c r="I28" s="180"/>
      <c r="J28" s="180"/>
      <c r="K28" s="180"/>
      <c r="L28" s="180"/>
      <c r="M28" s="180"/>
      <c r="N28" s="180"/>
      <c r="O28" s="180"/>
      <c r="P28" s="180"/>
      <c r="AS28" s="180"/>
      <c r="AT28" s="180"/>
      <c r="AU28" s="180"/>
      <c r="AV28" s="180"/>
      <c r="AW28" s="180"/>
      <c r="AX28" s="180"/>
      <c r="AY28" s="180"/>
      <c r="AZ28" s="180"/>
      <c r="BA28" s="180"/>
      <c r="BB28" s="180"/>
      <c r="BC28" s="180"/>
      <c r="BD28" s="180"/>
      <c r="BE28" s="180"/>
      <c r="BF28" s="180"/>
      <c r="BG28" s="180"/>
      <c r="BH28" s="83" t="s">
        <v>40</v>
      </c>
      <c r="BI28" s="86">
        <f>4+32</f>
        <v>36</v>
      </c>
      <c r="BJ28" s="86"/>
      <c r="BK28" s="86">
        <v>16</v>
      </c>
      <c r="BL28" s="86"/>
      <c r="BM28" s="86"/>
      <c r="BN28" s="86">
        <v>10</v>
      </c>
      <c r="BO28" s="86"/>
      <c r="BP28" s="86"/>
      <c r="BQ28" s="86"/>
      <c r="BR28" s="86"/>
      <c r="BS28" s="86"/>
      <c r="BT28" s="86"/>
      <c r="BU28" s="86"/>
      <c r="BV28" s="86"/>
      <c r="BW28" s="86"/>
      <c r="BX28" s="86">
        <v>5</v>
      </c>
      <c r="BY28" s="86"/>
      <c r="BZ28" s="86"/>
      <c r="CA28" s="86"/>
      <c r="CB28" s="86"/>
      <c r="CC28" s="86"/>
      <c r="CD28" s="86"/>
      <c r="CE28" s="86"/>
      <c r="CF28" s="86"/>
      <c r="CG28" s="86"/>
      <c r="CH28" s="86"/>
      <c r="CI28" s="86"/>
      <c r="CJ28" s="86"/>
      <c r="CK28" s="86"/>
      <c r="CL28" s="86"/>
      <c r="CM28" s="86"/>
      <c r="CN28" s="86"/>
      <c r="CO28" s="86"/>
      <c r="CP28" s="86"/>
      <c r="CQ28" s="86"/>
      <c r="CR28" s="86">
        <v>3</v>
      </c>
      <c r="CS28" s="86"/>
      <c r="CT28" s="86"/>
      <c r="CU28" s="86"/>
      <c r="CV28" s="86"/>
      <c r="CW28" s="86"/>
      <c r="CX28" s="86">
        <f t="shared" si="0"/>
        <v>70</v>
      </c>
      <c r="CY28" s="180"/>
      <c r="CZ28" s="180"/>
    </row>
    <row r="29" spans="1:104" x14ac:dyDescent="0.45">
      <c r="A29" s="180" t="s">
        <v>43</v>
      </c>
      <c r="B29" s="73">
        <v>1</v>
      </c>
      <c r="C29" s="73">
        <v>1</v>
      </c>
      <c r="D29" s="180" t="s">
        <v>281</v>
      </c>
      <c r="E29" s="39">
        <v>43594</v>
      </c>
      <c r="F29" s="179">
        <v>0.3125</v>
      </c>
      <c r="G29" s="180">
        <v>14</v>
      </c>
      <c r="H29" s="180" t="s">
        <v>289</v>
      </c>
      <c r="I29" s="180"/>
      <c r="J29" s="180"/>
      <c r="K29" s="180"/>
      <c r="L29" s="180"/>
      <c r="M29" s="180"/>
      <c r="N29" s="180"/>
      <c r="O29" s="180"/>
      <c r="P29" s="180"/>
      <c r="AS29" s="180"/>
      <c r="AT29" s="180"/>
      <c r="AU29" s="180"/>
      <c r="AV29" s="180"/>
      <c r="AW29" s="180"/>
      <c r="AX29" s="180"/>
      <c r="AY29" s="180"/>
      <c r="AZ29" s="180"/>
      <c r="BA29" s="180"/>
      <c r="BB29" s="180"/>
      <c r="BC29" s="180"/>
      <c r="BD29" s="180"/>
      <c r="BE29" s="180"/>
      <c r="BF29" s="180"/>
      <c r="BG29" s="180"/>
      <c r="BH29" s="83" t="s">
        <v>53</v>
      </c>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v>1</v>
      </c>
      <c r="CH29" s="86"/>
      <c r="CI29" s="86"/>
      <c r="CJ29" s="86"/>
      <c r="CK29" s="86"/>
      <c r="CL29" s="86"/>
      <c r="CM29" s="86"/>
      <c r="CN29" s="86"/>
      <c r="CO29" s="86"/>
      <c r="CP29" s="86"/>
      <c r="CQ29" s="86"/>
      <c r="CR29" s="86"/>
      <c r="CS29" s="86"/>
      <c r="CT29" s="86"/>
      <c r="CU29" s="86"/>
      <c r="CV29" s="86"/>
      <c r="CW29" s="86"/>
      <c r="CX29" s="86">
        <f t="shared" si="0"/>
        <v>1</v>
      </c>
      <c r="CY29" s="180"/>
      <c r="CZ29" s="180"/>
    </row>
    <row r="30" spans="1:104" x14ac:dyDescent="0.45">
      <c r="A30" s="180" t="s">
        <v>43</v>
      </c>
      <c r="B30" s="73">
        <v>6</v>
      </c>
      <c r="C30" s="73"/>
      <c r="D30" s="180" t="s">
        <v>290</v>
      </c>
      <c r="E30" s="39">
        <v>43594</v>
      </c>
      <c r="F30" s="179">
        <v>0.3972222222222222</v>
      </c>
      <c r="G30" s="180">
        <v>1</v>
      </c>
      <c r="H30" s="180"/>
      <c r="I30" s="180"/>
      <c r="J30" s="180"/>
      <c r="K30" s="180"/>
      <c r="L30" s="180"/>
      <c r="M30" s="180"/>
      <c r="N30" s="180"/>
      <c r="O30" s="180"/>
      <c r="P30" s="180"/>
      <c r="AS30" s="180"/>
      <c r="AT30" s="180"/>
      <c r="AU30" s="180"/>
      <c r="AV30" s="180"/>
      <c r="AW30" s="180"/>
      <c r="AX30" s="180"/>
      <c r="AY30" s="180"/>
      <c r="AZ30" s="180"/>
      <c r="BA30" s="180"/>
      <c r="BB30" s="180"/>
      <c r="BC30" s="180"/>
      <c r="BD30" s="180"/>
      <c r="BE30" s="180"/>
      <c r="BF30" s="180"/>
      <c r="BG30" s="180"/>
      <c r="BH30" s="3" t="s">
        <v>15</v>
      </c>
      <c r="BI30" s="86"/>
      <c r="BJ30" s="86"/>
      <c r="BK30" s="86"/>
      <c r="BL30" s="86"/>
      <c r="BM30" s="86"/>
      <c r="BN30" s="86"/>
      <c r="BO30" s="86"/>
      <c r="BP30" s="86"/>
      <c r="BQ30" s="86"/>
      <c r="BR30" s="86">
        <v>1</v>
      </c>
      <c r="BS30" s="86">
        <v>1</v>
      </c>
      <c r="BT30" s="86"/>
      <c r="BU30" s="86">
        <v>1</v>
      </c>
      <c r="BV30" s="86">
        <f>5+12</f>
        <v>17</v>
      </c>
      <c r="BW30" s="86">
        <v>8</v>
      </c>
      <c r="BX30" s="86"/>
      <c r="BY30" s="86">
        <v>2</v>
      </c>
      <c r="BZ30" s="86"/>
      <c r="CA30" s="86"/>
      <c r="CB30" s="86"/>
      <c r="CC30" s="86">
        <f>5+1+6</f>
        <v>12</v>
      </c>
      <c r="CD30" s="86">
        <v>18</v>
      </c>
      <c r="CE30" s="86">
        <f>7+12</f>
        <v>19</v>
      </c>
      <c r="CF30" s="86">
        <v>2</v>
      </c>
      <c r="CG30" s="86">
        <f>1+8+1</f>
        <v>10</v>
      </c>
      <c r="CH30" s="86">
        <f>4+8+2+3+18</f>
        <v>35</v>
      </c>
      <c r="CI30" s="86">
        <v>20</v>
      </c>
      <c r="CJ30" s="86">
        <f>23+23</f>
        <v>46</v>
      </c>
      <c r="CK30" s="86"/>
      <c r="CL30" s="86">
        <v>2</v>
      </c>
      <c r="CM30" s="86">
        <v>11</v>
      </c>
      <c r="CN30" s="86">
        <v>2</v>
      </c>
      <c r="CO30" s="86"/>
      <c r="CP30" s="86">
        <v>1</v>
      </c>
      <c r="CQ30" s="86"/>
      <c r="CR30" s="86">
        <v>5</v>
      </c>
      <c r="CS30" s="86"/>
      <c r="CT30" s="86"/>
      <c r="CU30" s="86"/>
      <c r="CV30" s="86"/>
      <c r="CW30" s="86">
        <v>8</v>
      </c>
      <c r="CX30" s="86">
        <f t="shared" si="0"/>
        <v>221</v>
      </c>
      <c r="CY30" s="180"/>
      <c r="CZ30" s="180"/>
    </row>
    <row r="31" spans="1:104" x14ac:dyDescent="0.45">
      <c r="A31" s="180" t="s">
        <v>43</v>
      </c>
      <c r="B31" s="73">
        <v>1</v>
      </c>
      <c r="C31" s="73">
        <v>1</v>
      </c>
      <c r="D31" s="180" t="s">
        <v>291</v>
      </c>
      <c r="E31" s="39">
        <v>43596</v>
      </c>
      <c r="F31" s="179">
        <v>0.54166666666666663</v>
      </c>
      <c r="G31" s="180">
        <v>1</v>
      </c>
      <c r="H31" s="180" t="s">
        <v>292</v>
      </c>
      <c r="I31" s="180"/>
      <c r="J31" s="180"/>
      <c r="K31" s="180"/>
      <c r="L31" s="180"/>
      <c r="M31" s="180"/>
      <c r="N31" s="180"/>
      <c r="O31" s="180"/>
      <c r="P31" s="180"/>
      <c r="AS31" s="180"/>
      <c r="AT31" s="180"/>
      <c r="AU31" s="180"/>
      <c r="AV31" s="180"/>
      <c r="AW31" s="180"/>
      <c r="AX31" s="180"/>
      <c r="AY31" s="180"/>
      <c r="AZ31" s="180"/>
      <c r="BA31" s="180"/>
      <c r="BB31" s="180"/>
      <c r="BC31" s="180"/>
      <c r="BD31" s="180"/>
      <c r="BE31" s="180"/>
      <c r="BF31" s="180"/>
      <c r="BG31" s="180"/>
      <c r="BH31" s="83" t="s">
        <v>54</v>
      </c>
      <c r="BI31" s="86"/>
      <c r="BJ31" s="86"/>
      <c r="BK31" s="86"/>
      <c r="BL31" s="86"/>
      <c r="BM31" s="86"/>
      <c r="BN31" s="86"/>
      <c r="BO31" s="86"/>
      <c r="BP31" s="86"/>
      <c r="BQ31" s="86"/>
      <c r="BR31" s="86"/>
      <c r="BS31" s="86"/>
      <c r="BT31" s="86"/>
      <c r="BU31" s="86"/>
      <c r="BV31" s="86"/>
      <c r="BW31" s="86"/>
      <c r="BX31" s="86"/>
      <c r="BY31" s="86"/>
      <c r="BZ31" s="86"/>
      <c r="CA31" s="86"/>
      <c r="CB31" s="86"/>
      <c r="CC31" s="86">
        <f>1+1</f>
        <v>2</v>
      </c>
      <c r="CD31" s="86"/>
      <c r="CE31" s="86"/>
      <c r="CF31" s="86"/>
      <c r="CG31" s="86">
        <f>1+11+4</f>
        <v>16</v>
      </c>
      <c r="CH31" s="86">
        <v>36</v>
      </c>
      <c r="CI31" s="86">
        <v>5</v>
      </c>
      <c r="CJ31" s="86">
        <f>2+2+1</f>
        <v>5</v>
      </c>
      <c r="CK31" s="86">
        <v>1</v>
      </c>
      <c r="CL31" s="86">
        <v>4</v>
      </c>
      <c r="CM31" s="86"/>
      <c r="CN31" s="86">
        <v>3</v>
      </c>
      <c r="CO31" s="86"/>
      <c r="CP31" s="86"/>
      <c r="CQ31" s="86"/>
      <c r="CR31" s="86"/>
      <c r="CS31" s="86"/>
      <c r="CT31" s="86"/>
      <c r="CU31" s="86"/>
      <c r="CV31" s="86"/>
      <c r="CW31" s="86"/>
      <c r="CX31" s="86">
        <f t="shared" si="0"/>
        <v>72</v>
      </c>
      <c r="CY31" s="180"/>
      <c r="CZ31" s="180"/>
    </row>
    <row r="32" spans="1:104" x14ac:dyDescent="0.45">
      <c r="A32" s="180" t="s">
        <v>43</v>
      </c>
      <c r="B32" s="73">
        <v>1</v>
      </c>
      <c r="C32" s="73"/>
      <c r="D32" s="180" t="s">
        <v>291</v>
      </c>
      <c r="E32" s="39">
        <v>43596</v>
      </c>
      <c r="F32" s="179">
        <v>0.55208333333333337</v>
      </c>
      <c r="G32" s="180">
        <v>2</v>
      </c>
      <c r="H32" s="180"/>
      <c r="I32" s="180"/>
      <c r="J32" s="180"/>
      <c r="K32" s="180"/>
      <c r="L32" s="180"/>
      <c r="M32" s="180"/>
      <c r="N32" s="180"/>
      <c r="O32" s="180"/>
      <c r="P32" s="180"/>
      <c r="AS32" s="180"/>
      <c r="AT32" s="180"/>
      <c r="AU32" s="180"/>
      <c r="AV32" s="180"/>
      <c r="AW32" s="180"/>
      <c r="AX32" s="180"/>
      <c r="AY32" s="180"/>
      <c r="AZ32" s="180"/>
      <c r="BA32" s="180"/>
      <c r="BB32" s="180"/>
      <c r="BC32" s="180"/>
      <c r="BD32" s="180"/>
      <c r="BE32" s="180"/>
      <c r="BF32" s="180"/>
      <c r="BG32" s="180"/>
      <c r="BH32" s="90" t="s">
        <v>183</v>
      </c>
      <c r="BI32" s="86"/>
      <c r="BJ32" s="86"/>
      <c r="BK32" s="86"/>
      <c r="BL32" s="86"/>
      <c r="BM32" s="86"/>
      <c r="BN32" s="86"/>
      <c r="BO32" s="86"/>
      <c r="BP32" s="86"/>
      <c r="BQ32" s="86"/>
      <c r="BR32" s="86"/>
      <c r="BS32" s="86"/>
      <c r="BT32" s="86"/>
      <c r="BU32" s="86"/>
      <c r="BV32" s="86"/>
      <c r="BW32" s="86"/>
      <c r="BX32" s="86"/>
      <c r="BY32" s="86"/>
      <c r="BZ32" s="86"/>
      <c r="CA32" s="86"/>
      <c r="CB32" s="86"/>
      <c r="CC32" s="86">
        <v>1</v>
      </c>
      <c r="CD32" s="86">
        <f>4+7</f>
        <v>11</v>
      </c>
      <c r="CE32" s="86">
        <f>12+4</f>
        <v>16</v>
      </c>
      <c r="CF32" s="86"/>
      <c r="CG32" s="86">
        <f>1+2</f>
        <v>3</v>
      </c>
      <c r="CH32" s="86">
        <v>14</v>
      </c>
      <c r="CI32" s="86">
        <v>9</v>
      </c>
      <c r="CJ32" s="86">
        <v>65</v>
      </c>
      <c r="CK32" s="86">
        <v>1</v>
      </c>
      <c r="CL32" s="86"/>
      <c r="CM32" s="86">
        <f>3+2</f>
        <v>5</v>
      </c>
      <c r="CN32" s="86"/>
      <c r="CO32" s="86"/>
      <c r="CP32" s="86"/>
      <c r="CQ32" s="86"/>
      <c r="CR32" s="86">
        <v>3</v>
      </c>
      <c r="CS32" s="86"/>
      <c r="CT32" s="86"/>
      <c r="CU32" s="86"/>
      <c r="CV32" s="86"/>
      <c r="CW32" s="86">
        <v>5</v>
      </c>
      <c r="CX32" s="86">
        <f t="shared" si="0"/>
        <v>133</v>
      </c>
      <c r="CY32" s="180"/>
      <c r="CZ32" s="180"/>
    </row>
    <row r="33" spans="1:104" x14ac:dyDescent="0.45">
      <c r="A33" s="180" t="s">
        <v>43</v>
      </c>
      <c r="B33" s="73">
        <v>1</v>
      </c>
      <c r="C33" s="73"/>
      <c r="D33" s="180" t="s">
        <v>291</v>
      </c>
      <c r="E33" s="39">
        <v>43596</v>
      </c>
      <c r="F33" s="179">
        <v>0.54166666666666663</v>
      </c>
      <c r="G33" s="180">
        <v>20</v>
      </c>
      <c r="H33" s="180" t="s">
        <v>293</v>
      </c>
      <c r="I33" s="180"/>
      <c r="J33" s="180"/>
      <c r="K33" s="180"/>
      <c r="L33" s="180"/>
      <c r="M33" s="180"/>
      <c r="N33" s="180"/>
      <c r="O33" s="180"/>
      <c r="P33" s="180"/>
      <c r="AS33" s="180"/>
      <c r="AT33" s="180"/>
      <c r="AU33" s="180"/>
      <c r="AV33" s="180"/>
      <c r="AW33" s="180"/>
      <c r="AX33" s="180"/>
      <c r="AY33" s="180"/>
      <c r="AZ33" s="180"/>
      <c r="BA33" s="180"/>
      <c r="BB33" s="180"/>
      <c r="BC33" s="180"/>
      <c r="BD33" s="180"/>
      <c r="BE33" s="180"/>
      <c r="BF33" s="180"/>
      <c r="BG33" s="180"/>
      <c r="BH33" s="3" t="s">
        <v>16</v>
      </c>
      <c r="BI33" s="86">
        <f>1+1</f>
        <v>2</v>
      </c>
      <c r="BJ33" s="86"/>
      <c r="BK33" s="86"/>
      <c r="BL33" s="86"/>
      <c r="BM33" s="86"/>
      <c r="BN33" s="86"/>
      <c r="BO33" s="86">
        <v>2</v>
      </c>
      <c r="BP33" s="86"/>
      <c r="BQ33" s="86">
        <v>2</v>
      </c>
      <c r="BR33" s="86"/>
      <c r="BS33" s="86"/>
      <c r="BT33" s="86">
        <v>1</v>
      </c>
      <c r="BU33" s="86">
        <v>2</v>
      </c>
      <c r="BV33" s="86">
        <v>1</v>
      </c>
      <c r="BW33" s="86">
        <v>2</v>
      </c>
      <c r="BX33" s="86">
        <v>1</v>
      </c>
      <c r="BY33" s="86">
        <v>1</v>
      </c>
      <c r="BZ33" s="86">
        <v>1</v>
      </c>
      <c r="CA33" s="86">
        <v>1</v>
      </c>
      <c r="CB33" s="86">
        <v>2</v>
      </c>
      <c r="CC33" s="86">
        <v>1</v>
      </c>
      <c r="CD33" s="86">
        <f>1+2</f>
        <v>3</v>
      </c>
      <c r="CE33" s="86">
        <f>5+5+3+2+3+1+1</f>
        <v>20</v>
      </c>
      <c r="CF33" s="86">
        <f>3+4+1</f>
        <v>8</v>
      </c>
      <c r="CG33" s="86">
        <f>2+1+1</f>
        <v>4</v>
      </c>
      <c r="CH33" s="86">
        <v>1</v>
      </c>
      <c r="CI33" s="86"/>
      <c r="CJ33" s="86">
        <f>2+1+1+2</f>
        <v>6</v>
      </c>
      <c r="CK33" s="86"/>
      <c r="CL33" s="86"/>
      <c r="CM33" s="86">
        <f>1+2</f>
        <v>3</v>
      </c>
      <c r="CN33" s="86">
        <v>1</v>
      </c>
      <c r="CO33" s="86"/>
      <c r="CP33" s="86"/>
      <c r="CQ33" s="86"/>
      <c r="CR33" s="86"/>
      <c r="CS33" s="86"/>
      <c r="CT33" s="86"/>
      <c r="CU33" s="86"/>
      <c r="CV33" s="86"/>
      <c r="CW33" s="86"/>
      <c r="CX33" s="86">
        <f t="shared" si="0"/>
        <v>65</v>
      </c>
      <c r="CY33" s="180"/>
      <c r="CZ33" s="180"/>
    </row>
    <row r="34" spans="1:104" x14ac:dyDescent="0.45">
      <c r="A34" s="180" t="s">
        <v>43</v>
      </c>
      <c r="B34" s="73">
        <v>2</v>
      </c>
      <c r="C34" s="73">
        <v>2</v>
      </c>
      <c r="D34" s="180" t="s">
        <v>288</v>
      </c>
      <c r="E34" s="39">
        <v>43596</v>
      </c>
      <c r="F34" s="179">
        <v>0.39861111111111108</v>
      </c>
      <c r="G34" s="180">
        <v>8</v>
      </c>
      <c r="H34" s="180"/>
      <c r="I34" s="180"/>
      <c r="J34" s="180"/>
      <c r="K34" s="180"/>
      <c r="L34" s="180"/>
      <c r="M34" s="180"/>
      <c r="N34" s="180"/>
      <c r="O34" s="180"/>
      <c r="P34" s="180"/>
      <c r="AS34" s="180"/>
      <c r="AT34" s="180"/>
      <c r="AU34" s="180"/>
      <c r="AV34" s="180"/>
      <c r="AW34" s="180"/>
      <c r="AX34" s="180"/>
      <c r="AY34" s="180"/>
      <c r="AZ34" s="180"/>
      <c r="BA34" s="180"/>
      <c r="BB34" s="180"/>
      <c r="BC34" s="180"/>
      <c r="BD34" s="180"/>
      <c r="BE34" s="180"/>
      <c r="BF34" s="180"/>
      <c r="BG34" s="180"/>
      <c r="BH34" s="78" t="s">
        <v>17</v>
      </c>
      <c r="BI34" s="130"/>
      <c r="BJ34" s="130"/>
      <c r="BK34" s="130"/>
      <c r="BL34" s="130"/>
      <c r="BM34" s="130"/>
      <c r="BN34" s="130"/>
      <c r="BO34" s="130"/>
      <c r="BP34" s="130"/>
      <c r="BQ34" s="130"/>
      <c r="BR34" s="130"/>
      <c r="BS34" s="86"/>
      <c r="BT34" s="86"/>
      <c r="BU34" s="86"/>
      <c r="BV34" s="86"/>
      <c r="BW34" s="86"/>
      <c r="BX34" s="86">
        <v>100</v>
      </c>
      <c r="BY34" s="86"/>
      <c r="BZ34" s="86"/>
      <c r="CA34" s="86"/>
      <c r="CB34" s="86"/>
      <c r="CC34" s="86">
        <v>10</v>
      </c>
      <c r="CD34" s="86">
        <v>3</v>
      </c>
      <c r="CE34" s="86">
        <f>16+14</f>
        <v>30</v>
      </c>
      <c r="CF34" s="86">
        <v>14</v>
      </c>
      <c r="CG34" s="86"/>
      <c r="CH34" s="86"/>
      <c r="CI34" s="86"/>
      <c r="CJ34" s="86"/>
      <c r="CK34" s="86">
        <v>40</v>
      </c>
      <c r="CL34" s="86">
        <v>2</v>
      </c>
      <c r="CM34" s="86"/>
      <c r="CN34" s="86"/>
      <c r="CO34" s="86"/>
      <c r="CP34" s="86"/>
      <c r="CQ34" s="86"/>
      <c r="CR34" s="86"/>
      <c r="CS34" s="86"/>
      <c r="CT34" s="86">
        <v>1</v>
      </c>
      <c r="CU34" s="86"/>
      <c r="CV34" s="86"/>
      <c r="CW34" s="86"/>
      <c r="CX34" s="86">
        <f t="shared" si="0"/>
        <v>200</v>
      </c>
      <c r="CY34" s="180"/>
      <c r="CZ34" s="180"/>
    </row>
    <row r="35" spans="1:104" x14ac:dyDescent="0.45">
      <c r="A35" s="180" t="s">
        <v>43</v>
      </c>
      <c r="B35" s="73">
        <v>2</v>
      </c>
      <c r="C35" s="73"/>
      <c r="D35" s="180" t="s">
        <v>288</v>
      </c>
      <c r="E35" s="39">
        <v>43596</v>
      </c>
      <c r="F35" s="179">
        <v>0.39861111111111108</v>
      </c>
      <c r="G35" s="180">
        <v>8</v>
      </c>
      <c r="H35" s="180"/>
      <c r="I35" s="180"/>
      <c r="J35" s="180"/>
      <c r="K35" s="180"/>
      <c r="L35" s="180"/>
      <c r="M35" s="180"/>
      <c r="N35" s="180"/>
      <c r="O35" s="180"/>
      <c r="P35" s="180"/>
      <c r="AS35" s="180"/>
      <c r="AT35" s="180"/>
      <c r="AU35" s="180"/>
      <c r="AV35" s="180"/>
      <c r="AW35" s="180"/>
      <c r="AX35" s="180"/>
      <c r="AY35" s="180"/>
      <c r="AZ35" s="180"/>
      <c r="BA35" s="180"/>
      <c r="BB35" s="180"/>
      <c r="BC35" s="180"/>
      <c r="BD35" s="180"/>
      <c r="BE35" s="180"/>
      <c r="BF35" s="180"/>
      <c r="BG35" s="180"/>
      <c r="BH35" s="10" t="s">
        <v>191</v>
      </c>
      <c r="BI35" s="159">
        <f t="shared" ref="BI35:CX35" si="1">SUM(BI8:BI34)</f>
        <v>38</v>
      </c>
      <c r="BJ35" s="160">
        <f t="shared" si="1"/>
        <v>0</v>
      </c>
      <c r="BK35" s="160">
        <f t="shared" si="1"/>
        <v>19</v>
      </c>
      <c r="BL35" s="160">
        <f t="shared" si="1"/>
        <v>0</v>
      </c>
      <c r="BM35" s="160">
        <f t="shared" si="1"/>
        <v>0</v>
      </c>
      <c r="BN35" s="160">
        <f t="shared" si="1"/>
        <v>25</v>
      </c>
      <c r="BO35" s="160">
        <f t="shared" si="1"/>
        <v>4</v>
      </c>
      <c r="BP35" s="160">
        <f t="shared" si="1"/>
        <v>0</v>
      </c>
      <c r="BQ35" s="160">
        <f t="shared" si="1"/>
        <v>2</v>
      </c>
      <c r="BR35" s="160">
        <f t="shared" si="1"/>
        <v>4</v>
      </c>
      <c r="BS35" s="160">
        <f t="shared" si="1"/>
        <v>45</v>
      </c>
      <c r="BT35" s="160">
        <f t="shared" si="1"/>
        <v>3</v>
      </c>
      <c r="BU35" s="160">
        <f t="shared" si="1"/>
        <v>10</v>
      </c>
      <c r="BV35" s="160">
        <f t="shared" si="1"/>
        <v>131</v>
      </c>
      <c r="BW35" s="160">
        <f t="shared" si="1"/>
        <v>66</v>
      </c>
      <c r="BX35" s="160">
        <f t="shared" si="1"/>
        <v>211</v>
      </c>
      <c r="BY35" s="160">
        <f t="shared" si="1"/>
        <v>93</v>
      </c>
      <c r="BZ35" s="160">
        <f t="shared" si="1"/>
        <v>33</v>
      </c>
      <c r="CA35" s="160">
        <f t="shared" si="1"/>
        <v>35</v>
      </c>
      <c r="CB35" s="160">
        <f t="shared" si="1"/>
        <v>47</v>
      </c>
      <c r="CC35" s="160">
        <f t="shared" si="1"/>
        <v>6373</v>
      </c>
      <c r="CD35" s="160">
        <f t="shared" si="1"/>
        <v>9198</v>
      </c>
      <c r="CE35" s="160">
        <f t="shared" si="1"/>
        <v>9769</v>
      </c>
      <c r="CF35" s="160">
        <f t="shared" si="1"/>
        <v>4410</v>
      </c>
      <c r="CG35" s="160">
        <f t="shared" si="1"/>
        <v>4013</v>
      </c>
      <c r="CH35" s="160">
        <f t="shared" si="1"/>
        <v>4378</v>
      </c>
      <c r="CI35" s="160">
        <f t="shared" si="1"/>
        <v>4120</v>
      </c>
      <c r="CJ35" s="160">
        <f t="shared" si="1"/>
        <v>171654</v>
      </c>
      <c r="CK35" s="160">
        <f t="shared" si="1"/>
        <v>3256</v>
      </c>
      <c r="CL35" s="160">
        <f t="shared" si="1"/>
        <v>1875</v>
      </c>
      <c r="CM35" s="160">
        <f t="shared" si="1"/>
        <v>3122</v>
      </c>
      <c r="CN35" s="160">
        <f t="shared" si="1"/>
        <v>141</v>
      </c>
      <c r="CO35" s="160">
        <f t="shared" si="1"/>
        <v>0</v>
      </c>
      <c r="CP35" s="160">
        <f t="shared" si="1"/>
        <v>28</v>
      </c>
      <c r="CQ35" s="160">
        <f t="shared" si="1"/>
        <v>37</v>
      </c>
      <c r="CR35" s="160">
        <f t="shared" si="1"/>
        <v>457</v>
      </c>
      <c r="CS35" s="160">
        <f t="shared" si="1"/>
        <v>31</v>
      </c>
      <c r="CT35" s="160">
        <f t="shared" si="1"/>
        <v>77</v>
      </c>
      <c r="CU35" s="160">
        <f t="shared" si="1"/>
        <v>0</v>
      </c>
      <c r="CV35" s="160">
        <f t="shared" si="1"/>
        <v>2</v>
      </c>
      <c r="CW35" s="160">
        <f t="shared" si="1"/>
        <v>104</v>
      </c>
      <c r="CX35" s="160">
        <f t="shared" si="1"/>
        <v>223811</v>
      </c>
      <c r="CY35" s="180"/>
      <c r="CZ35" s="180"/>
    </row>
    <row r="36" spans="1:104" x14ac:dyDescent="0.45">
      <c r="A36" s="180" t="s">
        <v>43</v>
      </c>
      <c r="B36" s="73">
        <v>2</v>
      </c>
      <c r="C36" s="73"/>
      <c r="D36" s="180" t="s">
        <v>294</v>
      </c>
      <c r="E36" s="39">
        <v>43597</v>
      </c>
      <c r="F36" s="179">
        <v>0.34236111111111112</v>
      </c>
      <c r="G36" s="180">
        <v>2</v>
      </c>
      <c r="H36" s="180"/>
      <c r="I36" s="180"/>
      <c r="J36" s="180"/>
      <c r="K36" s="180"/>
      <c r="L36" s="180"/>
      <c r="M36" s="180"/>
      <c r="N36" s="180"/>
      <c r="O36" s="180"/>
      <c r="P36" s="180"/>
      <c r="AS36" s="180"/>
      <c r="AT36" s="180"/>
      <c r="AU36" s="180"/>
      <c r="AV36" s="180"/>
      <c r="AW36" s="180"/>
      <c r="AX36" s="180"/>
      <c r="AY36" s="180"/>
      <c r="AZ36" s="180"/>
      <c r="BA36" s="180"/>
      <c r="BB36" s="180"/>
      <c r="BC36" s="180"/>
      <c r="BD36" s="180"/>
      <c r="BE36" s="180"/>
      <c r="BF36" s="180"/>
      <c r="BG36" s="180"/>
      <c r="BH36" s="193" t="s">
        <v>192</v>
      </c>
      <c r="BI36" s="17">
        <f t="shared" ref="BI36:CW36" si="2">SUM(BI8:BI21)+BI26+BI28+BI29+BI30+BI31+BI32+BI33+BI34</f>
        <v>38</v>
      </c>
      <c r="BJ36" s="17">
        <f t="shared" si="2"/>
        <v>0</v>
      </c>
      <c r="BK36" s="17">
        <f t="shared" si="2"/>
        <v>19</v>
      </c>
      <c r="BL36" s="17">
        <f t="shared" si="2"/>
        <v>0</v>
      </c>
      <c r="BM36" s="17">
        <f t="shared" si="2"/>
        <v>0</v>
      </c>
      <c r="BN36" s="17">
        <f t="shared" si="2"/>
        <v>25</v>
      </c>
      <c r="BO36" s="17">
        <f t="shared" si="2"/>
        <v>4</v>
      </c>
      <c r="BP36" s="17">
        <f t="shared" si="2"/>
        <v>0</v>
      </c>
      <c r="BQ36" s="17">
        <f t="shared" si="2"/>
        <v>2</v>
      </c>
      <c r="BR36" s="17">
        <f t="shared" si="2"/>
        <v>2</v>
      </c>
      <c r="BS36" s="17">
        <f t="shared" si="2"/>
        <v>44</v>
      </c>
      <c r="BT36" s="17">
        <f t="shared" si="2"/>
        <v>3</v>
      </c>
      <c r="BU36" s="17">
        <f t="shared" si="2"/>
        <v>4</v>
      </c>
      <c r="BV36" s="17">
        <f t="shared" si="2"/>
        <v>93</v>
      </c>
      <c r="BW36" s="17">
        <f t="shared" si="2"/>
        <v>25</v>
      </c>
      <c r="BX36" s="17">
        <f t="shared" si="2"/>
        <v>148</v>
      </c>
      <c r="BY36" s="17">
        <f t="shared" si="2"/>
        <v>33</v>
      </c>
      <c r="BZ36" s="17">
        <f t="shared" si="2"/>
        <v>33</v>
      </c>
      <c r="CA36" s="17">
        <f t="shared" si="2"/>
        <v>14</v>
      </c>
      <c r="CB36" s="17">
        <f t="shared" si="2"/>
        <v>43</v>
      </c>
      <c r="CC36" s="17">
        <f t="shared" si="2"/>
        <v>822</v>
      </c>
      <c r="CD36" s="17">
        <f t="shared" si="2"/>
        <v>319</v>
      </c>
      <c r="CE36" s="17">
        <f t="shared" si="2"/>
        <v>494</v>
      </c>
      <c r="CF36" s="17">
        <f t="shared" si="2"/>
        <v>519</v>
      </c>
      <c r="CG36" s="17">
        <f t="shared" si="2"/>
        <v>612</v>
      </c>
      <c r="CH36" s="17">
        <f t="shared" si="2"/>
        <v>896</v>
      </c>
      <c r="CI36" s="17">
        <f t="shared" si="2"/>
        <v>160</v>
      </c>
      <c r="CJ36" s="17">
        <f t="shared" si="2"/>
        <v>195</v>
      </c>
      <c r="CK36" s="17">
        <f t="shared" si="2"/>
        <v>137</v>
      </c>
      <c r="CL36" s="17">
        <f t="shared" si="2"/>
        <v>15</v>
      </c>
      <c r="CM36" s="17">
        <f t="shared" si="2"/>
        <v>228</v>
      </c>
      <c r="CN36" s="17">
        <f t="shared" si="2"/>
        <v>28</v>
      </c>
      <c r="CO36" s="17">
        <f t="shared" si="2"/>
        <v>0</v>
      </c>
      <c r="CP36" s="17">
        <f t="shared" si="2"/>
        <v>1</v>
      </c>
      <c r="CQ36" s="17">
        <f t="shared" si="2"/>
        <v>5</v>
      </c>
      <c r="CR36" s="17">
        <f t="shared" si="2"/>
        <v>190</v>
      </c>
      <c r="CS36" s="17">
        <f t="shared" si="2"/>
        <v>5</v>
      </c>
      <c r="CT36" s="17">
        <f t="shared" si="2"/>
        <v>16</v>
      </c>
      <c r="CU36" s="17">
        <f t="shared" si="2"/>
        <v>0</v>
      </c>
      <c r="CV36" s="17">
        <f t="shared" si="2"/>
        <v>2</v>
      </c>
      <c r="CW36" s="17">
        <f t="shared" si="2"/>
        <v>68</v>
      </c>
      <c r="CX36" s="17">
        <f>SUM(BI36:CW36)</f>
        <v>5242</v>
      </c>
      <c r="CY36" s="180"/>
      <c r="CZ36" s="180"/>
    </row>
    <row r="37" spans="1:104" x14ac:dyDescent="0.45">
      <c r="A37" s="180" t="s">
        <v>43</v>
      </c>
      <c r="B37" s="73">
        <v>3</v>
      </c>
      <c r="C37" s="73">
        <v>3</v>
      </c>
      <c r="D37" s="180" t="s">
        <v>295</v>
      </c>
      <c r="E37" s="39">
        <v>43597</v>
      </c>
      <c r="F37" s="179">
        <v>0.58402777777777781</v>
      </c>
      <c r="G37" s="180">
        <v>1</v>
      </c>
      <c r="H37" s="180" t="s">
        <v>295</v>
      </c>
      <c r="I37" s="180"/>
      <c r="J37" s="180"/>
      <c r="K37" s="180"/>
      <c r="L37" s="180"/>
      <c r="M37" s="180"/>
      <c r="N37" s="180"/>
      <c r="O37" s="180"/>
      <c r="P37" s="180"/>
      <c r="AS37" s="180"/>
      <c r="AT37" s="180"/>
      <c r="AU37" s="180"/>
      <c r="AV37" s="180"/>
      <c r="AW37" s="180"/>
      <c r="AX37" s="180"/>
      <c r="AY37" s="180"/>
      <c r="AZ37" s="180"/>
      <c r="BA37" s="180"/>
      <c r="BB37" s="180"/>
      <c r="BC37" s="180"/>
      <c r="BD37" s="180"/>
      <c r="BE37" s="180"/>
      <c r="BF37" s="180"/>
      <c r="BG37" s="180"/>
      <c r="BH37" s="193" t="s">
        <v>193</v>
      </c>
      <c r="BI37" s="194">
        <f>SUM(BI22:BI25)+BI27</f>
        <v>0</v>
      </c>
      <c r="BJ37" s="194">
        <f t="shared" ref="BJ37:CW37" si="3">SUM(BJ22:BJ25)+BJ27</f>
        <v>0</v>
      </c>
      <c r="BK37" s="194">
        <f t="shared" si="3"/>
        <v>0</v>
      </c>
      <c r="BL37" s="194">
        <f t="shared" si="3"/>
        <v>0</v>
      </c>
      <c r="BM37" s="194">
        <f t="shared" si="3"/>
        <v>0</v>
      </c>
      <c r="BN37" s="194">
        <f t="shared" si="3"/>
        <v>0</v>
      </c>
      <c r="BO37" s="194">
        <f t="shared" si="3"/>
        <v>0</v>
      </c>
      <c r="BP37" s="194">
        <f t="shared" si="3"/>
        <v>0</v>
      </c>
      <c r="BQ37" s="194">
        <f t="shared" si="3"/>
        <v>0</v>
      </c>
      <c r="BR37" s="195">
        <f t="shared" si="3"/>
        <v>2</v>
      </c>
      <c r="BS37" s="195">
        <f t="shared" si="3"/>
        <v>1</v>
      </c>
      <c r="BT37" s="195">
        <f t="shared" si="3"/>
        <v>0</v>
      </c>
      <c r="BU37" s="195">
        <f t="shared" si="3"/>
        <v>6</v>
      </c>
      <c r="BV37" s="195">
        <f t="shared" si="3"/>
        <v>38</v>
      </c>
      <c r="BW37" s="195">
        <f t="shared" si="3"/>
        <v>41</v>
      </c>
      <c r="BX37" s="195">
        <f t="shared" si="3"/>
        <v>63</v>
      </c>
      <c r="BY37" s="195">
        <f t="shared" si="3"/>
        <v>60</v>
      </c>
      <c r="BZ37" s="195">
        <f t="shared" si="3"/>
        <v>0</v>
      </c>
      <c r="CA37" s="195">
        <f t="shared" si="3"/>
        <v>21</v>
      </c>
      <c r="CB37" s="195">
        <f t="shared" si="3"/>
        <v>4</v>
      </c>
      <c r="CC37" s="195">
        <f t="shared" si="3"/>
        <v>5551</v>
      </c>
      <c r="CD37" s="195">
        <f t="shared" si="3"/>
        <v>8879</v>
      </c>
      <c r="CE37" s="195">
        <f t="shared" si="3"/>
        <v>9275</v>
      </c>
      <c r="CF37" s="195">
        <f t="shared" si="3"/>
        <v>3891</v>
      </c>
      <c r="CG37" s="195">
        <f t="shared" si="3"/>
        <v>3401</v>
      </c>
      <c r="CH37" s="195">
        <f t="shared" si="3"/>
        <v>3482</v>
      </c>
      <c r="CI37" s="195">
        <f t="shared" si="3"/>
        <v>3960</v>
      </c>
      <c r="CJ37" s="195">
        <f t="shared" si="3"/>
        <v>171459</v>
      </c>
      <c r="CK37" s="195">
        <f t="shared" si="3"/>
        <v>3119</v>
      </c>
      <c r="CL37" s="195">
        <f t="shared" si="3"/>
        <v>1860</v>
      </c>
      <c r="CM37" s="195">
        <f t="shared" si="3"/>
        <v>2894</v>
      </c>
      <c r="CN37" s="195">
        <f t="shared" si="3"/>
        <v>113</v>
      </c>
      <c r="CO37" s="195">
        <f t="shared" si="3"/>
        <v>0</v>
      </c>
      <c r="CP37" s="195">
        <f t="shared" si="3"/>
        <v>27</v>
      </c>
      <c r="CQ37" s="195">
        <f t="shared" si="3"/>
        <v>32</v>
      </c>
      <c r="CR37" s="195">
        <f t="shared" si="3"/>
        <v>267</v>
      </c>
      <c r="CS37" s="195">
        <f t="shared" si="3"/>
        <v>26</v>
      </c>
      <c r="CT37" s="195">
        <f t="shared" si="3"/>
        <v>61</v>
      </c>
      <c r="CU37" s="195">
        <f t="shared" si="3"/>
        <v>0</v>
      </c>
      <c r="CV37" s="195">
        <f t="shared" si="3"/>
        <v>0</v>
      </c>
      <c r="CW37" s="195">
        <f t="shared" si="3"/>
        <v>36</v>
      </c>
      <c r="CX37" s="17">
        <f>SUM(BI37:CW37)</f>
        <v>218569</v>
      </c>
      <c r="CY37" s="180"/>
      <c r="CZ37" s="180"/>
    </row>
    <row r="38" spans="1:104" x14ac:dyDescent="0.45">
      <c r="A38" s="180" t="s">
        <v>43</v>
      </c>
      <c r="B38" s="73">
        <v>3</v>
      </c>
      <c r="C38" s="73">
        <v>3</v>
      </c>
      <c r="D38" s="180" t="s">
        <v>296</v>
      </c>
      <c r="E38" s="39">
        <v>43597</v>
      </c>
      <c r="F38" s="179">
        <v>0.26597222222222222</v>
      </c>
      <c r="G38" s="180">
        <v>20</v>
      </c>
      <c r="H38" s="180"/>
      <c r="I38" s="180"/>
      <c r="J38" s="180"/>
      <c r="K38" s="180"/>
      <c r="L38" s="180"/>
      <c r="M38" s="180"/>
      <c r="N38" s="180"/>
      <c r="O38" s="180"/>
      <c r="P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180"/>
      <c r="BW38" s="180"/>
      <c r="BX38" s="180"/>
      <c r="BY38" s="180"/>
      <c r="BZ38" s="180"/>
      <c r="CA38" s="180"/>
      <c r="CB38" s="180"/>
      <c r="CC38" s="180"/>
      <c r="CD38" s="180"/>
      <c r="CE38" s="180"/>
      <c r="CF38" s="180"/>
      <c r="CG38" s="180"/>
      <c r="CH38" s="180"/>
      <c r="CI38" s="180"/>
      <c r="CJ38" s="180"/>
      <c r="CK38" s="180"/>
      <c r="CL38" s="180"/>
      <c r="CM38" s="180"/>
      <c r="CN38" s="180"/>
      <c r="CO38" s="180"/>
      <c r="CP38" s="180"/>
      <c r="CQ38" s="180"/>
      <c r="CR38" s="180"/>
      <c r="CS38" s="180"/>
      <c r="CT38" s="180"/>
      <c r="CU38" s="180"/>
      <c r="CV38" s="180"/>
      <c r="CW38" s="180"/>
      <c r="CX38" s="17"/>
      <c r="CY38" s="180"/>
      <c r="CZ38" s="180"/>
    </row>
    <row r="39" spans="1:104" x14ac:dyDescent="0.45">
      <c r="A39" s="180" t="s">
        <v>43</v>
      </c>
      <c r="B39" s="73">
        <v>2</v>
      </c>
      <c r="C39" s="73"/>
      <c r="D39" s="180" t="s">
        <v>296</v>
      </c>
      <c r="E39" s="39">
        <v>43597</v>
      </c>
      <c r="F39" s="179">
        <v>0.27361111111111108</v>
      </c>
      <c r="G39" s="180">
        <v>6</v>
      </c>
      <c r="H39" s="180" t="s">
        <v>297</v>
      </c>
      <c r="I39" s="180"/>
      <c r="J39" s="180"/>
      <c r="K39" s="180"/>
      <c r="L39" s="180"/>
      <c r="M39" s="180"/>
      <c r="N39" s="180"/>
      <c r="O39" s="180"/>
      <c r="P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BS39" s="180"/>
      <c r="BT39" s="180"/>
      <c r="BU39" s="180"/>
      <c r="BV39" s="180"/>
      <c r="BW39" s="180"/>
      <c r="BX39" s="180"/>
      <c r="BY39" s="180"/>
      <c r="BZ39" s="180"/>
      <c r="CA39" s="180"/>
      <c r="CB39" s="180"/>
      <c r="CC39" s="180"/>
      <c r="CD39" s="180"/>
      <c r="CE39" s="180"/>
      <c r="CF39" s="180"/>
      <c r="CG39" s="180"/>
      <c r="CH39" s="180"/>
      <c r="CI39" s="180"/>
      <c r="CJ39" s="180"/>
      <c r="CK39" s="180"/>
      <c r="CL39" s="180"/>
      <c r="CM39" s="180"/>
      <c r="CN39" s="180"/>
      <c r="CO39" s="180"/>
      <c r="CP39" s="180"/>
      <c r="CQ39" s="180"/>
      <c r="CR39" s="180"/>
      <c r="CS39" s="180"/>
      <c r="CT39" s="180"/>
      <c r="CU39" s="180"/>
      <c r="CV39" s="180"/>
      <c r="CW39" s="180"/>
      <c r="CX39" s="180"/>
      <c r="CY39" s="180"/>
      <c r="CZ39" s="180"/>
    </row>
    <row r="40" spans="1:104" x14ac:dyDescent="0.45">
      <c r="A40" s="180" t="s">
        <v>43</v>
      </c>
      <c r="B40" s="73">
        <v>3</v>
      </c>
      <c r="C40" s="73"/>
      <c r="D40" s="180" t="s">
        <v>290</v>
      </c>
      <c r="E40" s="39">
        <v>43597</v>
      </c>
      <c r="F40" s="179">
        <v>0.39583333333333331</v>
      </c>
      <c r="G40" s="180">
        <v>2</v>
      </c>
      <c r="H40" s="180"/>
      <c r="I40" s="180"/>
      <c r="J40" s="180"/>
      <c r="K40" s="180"/>
      <c r="L40" s="180"/>
      <c r="M40" s="180"/>
      <c r="N40" s="180"/>
      <c r="O40" s="180"/>
      <c r="P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80"/>
      <c r="CC40" s="180"/>
      <c r="CD40" s="180"/>
      <c r="CE40" s="180"/>
      <c r="CF40" s="180"/>
      <c r="CG40" s="180"/>
      <c r="CH40" s="180"/>
      <c r="CI40" s="180"/>
      <c r="CJ40" s="180"/>
      <c r="CK40" s="180"/>
      <c r="CL40" s="180"/>
      <c r="CM40" s="180"/>
      <c r="CN40" s="180"/>
      <c r="CO40" s="180"/>
      <c r="CP40" s="180"/>
      <c r="CQ40" s="180"/>
      <c r="CR40" s="180"/>
      <c r="CS40" s="180"/>
      <c r="CT40" s="180"/>
      <c r="CU40" s="180"/>
      <c r="CV40" s="180"/>
      <c r="CW40" s="180"/>
      <c r="CX40" s="180"/>
      <c r="CY40" s="180"/>
      <c r="CZ40" s="180"/>
    </row>
    <row r="41" spans="1:104" x14ac:dyDescent="0.45">
      <c r="A41" s="180" t="s">
        <v>43</v>
      </c>
      <c r="B41" s="73">
        <v>4</v>
      </c>
      <c r="C41" s="73">
        <v>4</v>
      </c>
      <c r="D41" s="180" t="s">
        <v>278</v>
      </c>
      <c r="E41" s="39">
        <v>43598</v>
      </c>
      <c r="F41" s="179">
        <v>0.41666666666666669</v>
      </c>
      <c r="G41" s="180">
        <v>1</v>
      </c>
      <c r="H41" s="180" t="s">
        <v>298</v>
      </c>
      <c r="I41" s="180"/>
      <c r="J41" s="180"/>
      <c r="K41" s="180"/>
      <c r="L41" s="180"/>
      <c r="M41" s="180"/>
      <c r="N41" s="180"/>
      <c r="O41" s="180"/>
      <c r="P41" s="180"/>
      <c r="AS41" s="180"/>
      <c r="AT41" s="180"/>
      <c r="AU41" s="180"/>
      <c r="AV41" s="180"/>
      <c r="AW41" s="180"/>
      <c r="AX41" s="180"/>
      <c r="AY41" s="180"/>
      <c r="AZ41" s="180"/>
      <c r="BA41" s="180"/>
      <c r="BB41" s="180"/>
      <c r="BC41" s="180"/>
      <c r="BD41" s="180"/>
      <c r="BE41" s="180"/>
      <c r="BF41" s="180"/>
      <c r="BG41" s="180"/>
      <c r="BH41" s="196"/>
      <c r="BI41" s="197">
        <v>42838</v>
      </c>
      <c r="BJ41" s="198">
        <v>42839</v>
      </c>
      <c r="BK41" s="198">
        <v>42840</v>
      </c>
      <c r="BL41" s="198">
        <v>42841</v>
      </c>
      <c r="BM41" s="198">
        <v>42842</v>
      </c>
      <c r="BN41" s="198">
        <v>42843</v>
      </c>
      <c r="BO41" s="198">
        <v>42844</v>
      </c>
      <c r="BP41" s="198">
        <v>42845</v>
      </c>
      <c r="BQ41" s="198">
        <v>42846</v>
      </c>
      <c r="BR41" s="198">
        <v>42847</v>
      </c>
      <c r="BS41" s="198">
        <v>42848</v>
      </c>
      <c r="BT41" s="198">
        <v>42849</v>
      </c>
      <c r="BU41" s="198">
        <v>42850</v>
      </c>
      <c r="BV41" s="199">
        <v>42851</v>
      </c>
      <c r="BW41" s="198">
        <v>42852</v>
      </c>
      <c r="BX41" s="198">
        <v>42853</v>
      </c>
      <c r="BY41" s="198">
        <v>42854</v>
      </c>
      <c r="BZ41" s="198">
        <v>42855</v>
      </c>
      <c r="CA41" s="200">
        <v>42856</v>
      </c>
      <c r="CB41" s="200">
        <v>42857</v>
      </c>
      <c r="CC41" s="200">
        <v>42858</v>
      </c>
      <c r="CD41" s="200">
        <v>42859</v>
      </c>
      <c r="CE41" s="200">
        <v>42860</v>
      </c>
      <c r="CF41" s="200">
        <v>42861</v>
      </c>
      <c r="CG41" s="200">
        <v>42862</v>
      </c>
      <c r="CH41" s="200">
        <v>42863</v>
      </c>
      <c r="CI41" s="200">
        <v>42864</v>
      </c>
      <c r="CJ41" s="200">
        <v>42865</v>
      </c>
      <c r="CK41" s="200">
        <v>42866</v>
      </c>
      <c r="CL41" s="200">
        <v>42867</v>
      </c>
      <c r="CM41" s="200">
        <v>42868</v>
      </c>
      <c r="CN41" s="200">
        <v>42869</v>
      </c>
      <c r="CO41" s="200">
        <v>42870</v>
      </c>
      <c r="CP41" s="200">
        <v>42871</v>
      </c>
      <c r="CQ41" s="200">
        <v>42872</v>
      </c>
      <c r="CR41" s="200">
        <v>42873</v>
      </c>
      <c r="CS41" s="200">
        <v>42874</v>
      </c>
      <c r="CT41" s="200">
        <v>42875</v>
      </c>
      <c r="CU41" s="200">
        <v>42876</v>
      </c>
      <c r="CV41" s="200">
        <v>42877</v>
      </c>
      <c r="CW41" s="200">
        <v>42878</v>
      </c>
      <c r="CX41" s="191" t="s">
        <v>24</v>
      </c>
      <c r="CY41" s="180"/>
      <c r="CZ41" s="180"/>
    </row>
    <row r="42" spans="1:104" x14ac:dyDescent="0.45">
      <c r="A42" s="180" t="s">
        <v>43</v>
      </c>
      <c r="B42" s="73">
        <v>2</v>
      </c>
      <c r="C42" s="73">
        <v>2</v>
      </c>
      <c r="D42" s="180" t="s">
        <v>299</v>
      </c>
      <c r="E42" s="39">
        <v>43601</v>
      </c>
      <c r="F42" s="179">
        <v>0.40277777777777773</v>
      </c>
      <c r="G42" s="180">
        <v>1</v>
      </c>
      <c r="H42" s="180"/>
      <c r="I42" s="180"/>
      <c r="J42" s="180"/>
      <c r="K42" s="180"/>
      <c r="L42" s="180"/>
      <c r="M42" s="180"/>
      <c r="N42" s="180"/>
      <c r="O42" s="180"/>
      <c r="P42" s="180"/>
      <c r="AS42" s="180"/>
      <c r="AT42" s="180"/>
      <c r="AU42" s="180"/>
      <c r="AV42" s="180"/>
      <c r="AW42" s="180"/>
      <c r="AX42" s="180"/>
      <c r="AY42" s="180"/>
      <c r="AZ42" s="180"/>
      <c r="BA42" s="180"/>
      <c r="BB42" s="180"/>
      <c r="BC42" s="180"/>
      <c r="BD42" s="180"/>
      <c r="BE42" s="180"/>
      <c r="BF42" s="180"/>
      <c r="BG42" s="180"/>
      <c r="BH42" s="170" t="s">
        <v>192</v>
      </c>
      <c r="BI42" s="86">
        <v>51</v>
      </c>
      <c r="BJ42" s="86">
        <v>3</v>
      </c>
      <c r="BK42" s="86">
        <v>25</v>
      </c>
      <c r="BL42" s="86">
        <v>4</v>
      </c>
      <c r="BM42" s="86">
        <v>11</v>
      </c>
      <c r="BN42" s="86">
        <v>68</v>
      </c>
      <c r="BO42" s="86">
        <v>5</v>
      </c>
      <c r="BP42" s="86">
        <v>2</v>
      </c>
      <c r="BQ42" s="86">
        <v>2</v>
      </c>
      <c r="BR42" s="86">
        <v>2</v>
      </c>
      <c r="BS42" s="86">
        <v>49</v>
      </c>
      <c r="BT42" s="86">
        <v>3</v>
      </c>
      <c r="BU42" s="86">
        <v>4</v>
      </c>
      <c r="BV42" s="86">
        <v>93</v>
      </c>
      <c r="BW42" s="86">
        <v>28</v>
      </c>
      <c r="BX42" s="86">
        <v>156</v>
      </c>
      <c r="BY42" s="86">
        <v>37</v>
      </c>
      <c r="BZ42" s="86">
        <v>33</v>
      </c>
      <c r="CA42" s="86">
        <v>15</v>
      </c>
      <c r="CB42" s="86">
        <v>44</v>
      </c>
      <c r="CC42" s="86">
        <v>829</v>
      </c>
      <c r="CD42" s="86">
        <v>324</v>
      </c>
      <c r="CE42" s="86">
        <v>521</v>
      </c>
      <c r="CF42" s="86">
        <v>529</v>
      </c>
      <c r="CG42" s="86">
        <v>621</v>
      </c>
      <c r="CH42" s="86">
        <v>907</v>
      </c>
      <c r="CI42" s="86">
        <v>164</v>
      </c>
      <c r="CJ42" s="86">
        <v>203</v>
      </c>
      <c r="CK42" s="86">
        <v>142</v>
      </c>
      <c r="CL42" s="86">
        <v>18</v>
      </c>
      <c r="CM42" s="86">
        <v>239</v>
      </c>
      <c r="CN42" s="86">
        <v>29</v>
      </c>
      <c r="CO42" s="86">
        <v>0</v>
      </c>
      <c r="CP42" s="86">
        <v>1</v>
      </c>
      <c r="CQ42" s="86">
        <v>5</v>
      </c>
      <c r="CR42" s="86">
        <v>193</v>
      </c>
      <c r="CS42" s="86">
        <v>6</v>
      </c>
      <c r="CT42" s="86">
        <v>16</v>
      </c>
      <c r="CU42" s="86">
        <v>0</v>
      </c>
      <c r="CV42" s="86">
        <v>2</v>
      </c>
      <c r="CW42" s="86">
        <v>68</v>
      </c>
      <c r="CX42" s="86">
        <f>SUM(BI42:CW42)</f>
        <v>5452</v>
      </c>
      <c r="CY42" s="86"/>
      <c r="CZ42" s="86"/>
    </row>
    <row r="43" spans="1:104" x14ac:dyDescent="0.45">
      <c r="A43" s="180" t="s">
        <v>43</v>
      </c>
      <c r="B43" s="73">
        <v>4</v>
      </c>
      <c r="C43" s="73">
        <v>4</v>
      </c>
      <c r="D43" s="180" t="s">
        <v>278</v>
      </c>
      <c r="E43" s="39">
        <v>43603</v>
      </c>
      <c r="F43" s="179">
        <v>0.58333333333333337</v>
      </c>
      <c r="G43" s="180">
        <v>1</v>
      </c>
      <c r="H43" s="180" t="s">
        <v>272</v>
      </c>
      <c r="I43" s="180"/>
      <c r="J43" s="180"/>
      <c r="K43" s="180"/>
      <c r="L43" s="180"/>
      <c r="M43" s="180"/>
      <c r="N43" s="180"/>
      <c r="O43" s="180"/>
      <c r="P43" s="180"/>
      <c r="AS43" s="180"/>
      <c r="AT43" s="180"/>
      <c r="AU43" s="180"/>
      <c r="AV43" s="180"/>
      <c r="AW43" s="180"/>
      <c r="AX43" s="180"/>
      <c r="AY43" s="180"/>
      <c r="AZ43" s="180"/>
      <c r="BA43" s="180"/>
      <c r="BB43" s="180"/>
      <c r="BC43" s="180"/>
      <c r="BD43" s="180"/>
      <c r="BE43" s="180"/>
      <c r="BF43" s="180"/>
      <c r="BG43" s="180"/>
      <c r="BH43" s="95" t="s">
        <v>194</v>
      </c>
      <c r="BI43" s="86">
        <v>43</v>
      </c>
      <c r="BJ43" s="180"/>
      <c r="BK43" s="180"/>
      <c r="BL43" s="180"/>
      <c r="BM43" s="180"/>
      <c r="BN43" s="86">
        <v>65</v>
      </c>
      <c r="BO43" s="180"/>
      <c r="BP43" s="180"/>
      <c r="BQ43" s="180"/>
      <c r="BR43" s="180"/>
      <c r="BS43" s="86">
        <v>40</v>
      </c>
      <c r="BT43" s="180"/>
      <c r="BU43" s="180"/>
      <c r="BV43" s="180"/>
      <c r="BW43" s="180"/>
      <c r="BX43" s="86">
        <v>149</v>
      </c>
      <c r="BY43" s="180"/>
      <c r="BZ43" s="180"/>
      <c r="CA43" s="180"/>
      <c r="CB43" s="180"/>
      <c r="CC43" s="86">
        <v>771</v>
      </c>
      <c r="CD43" s="180"/>
      <c r="CE43" s="180"/>
      <c r="CF43" s="180"/>
      <c r="CG43" s="180"/>
      <c r="CH43" s="86">
        <v>596</v>
      </c>
      <c r="CI43" s="180"/>
      <c r="CJ43" s="180"/>
      <c r="CK43" s="180"/>
      <c r="CL43" s="180"/>
      <c r="CM43" s="86">
        <v>210</v>
      </c>
      <c r="CN43" s="180"/>
      <c r="CO43" s="180"/>
      <c r="CP43" s="180"/>
      <c r="CQ43" s="86"/>
      <c r="CR43" s="86">
        <v>182</v>
      </c>
      <c r="CS43" s="180"/>
      <c r="CT43" s="180"/>
      <c r="CU43" s="180"/>
      <c r="CV43" s="180"/>
      <c r="CW43" s="86">
        <v>70</v>
      </c>
      <c r="CX43" s="86">
        <v>2126</v>
      </c>
      <c r="CY43" s="180"/>
      <c r="CZ43" s="180"/>
    </row>
    <row r="44" spans="1:104" x14ac:dyDescent="0.45">
      <c r="A44" s="180" t="s">
        <v>43</v>
      </c>
      <c r="B44" s="73">
        <v>1</v>
      </c>
      <c r="C44" s="73">
        <v>1</v>
      </c>
      <c r="D44" s="180" t="s">
        <v>281</v>
      </c>
      <c r="E44" s="39">
        <v>43603</v>
      </c>
      <c r="F44" s="179">
        <v>0.58333333333333337</v>
      </c>
      <c r="G44" s="180">
        <v>1</v>
      </c>
      <c r="H44" s="180" t="s">
        <v>300</v>
      </c>
      <c r="I44" s="180"/>
      <c r="J44" s="180"/>
      <c r="K44" s="180"/>
      <c r="L44" s="180"/>
      <c r="M44" s="180"/>
      <c r="N44" s="180"/>
      <c r="O44" s="180"/>
      <c r="P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180"/>
      <c r="CB44" s="180"/>
      <c r="CC44" s="180"/>
      <c r="CD44" s="180"/>
      <c r="CE44" s="180"/>
      <c r="CF44" s="180"/>
      <c r="CG44" s="180"/>
      <c r="CH44" s="180"/>
      <c r="CI44" s="180"/>
      <c r="CJ44" s="180"/>
      <c r="CK44" s="180"/>
      <c r="CL44" s="180"/>
      <c r="CM44" s="180"/>
      <c r="CN44" s="180"/>
      <c r="CO44" s="180"/>
      <c r="CP44" s="180"/>
      <c r="CQ44" s="180"/>
      <c r="CR44" s="180"/>
      <c r="CS44" s="180"/>
      <c r="CT44" s="180"/>
      <c r="CU44" s="180"/>
      <c r="CV44" s="180"/>
      <c r="CW44" s="180"/>
      <c r="CX44" s="180"/>
      <c r="CY44" s="180"/>
      <c r="CZ44" s="180"/>
    </row>
    <row r="45" spans="1:104" s="2" customFormat="1" x14ac:dyDescent="0.45">
      <c r="A45" s="180" t="s">
        <v>43</v>
      </c>
      <c r="B45" s="73">
        <v>2</v>
      </c>
      <c r="C45" s="73">
        <v>2</v>
      </c>
      <c r="D45" s="180" t="s">
        <v>301</v>
      </c>
      <c r="E45" s="39">
        <v>43603</v>
      </c>
      <c r="F45" s="179">
        <v>0.37916666666666665</v>
      </c>
      <c r="G45" s="180">
        <v>2</v>
      </c>
      <c r="H45" s="180"/>
      <c r="I45" s="180"/>
      <c r="J45" s="180"/>
      <c r="K45" s="180"/>
      <c r="L45" s="180"/>
      <c r="M45" s="180"/>
      <c r="N45" s="180"/>
      <c r="O45" s="180"/>
      <c r="P45" s="180"/>
      <c r="Q45"/>
      <c r="R45"/>
      <c r="S45"/>
      <c r="T45"/>
      <c r="U45"/>
      <c r="V45"/>
      <c r="W45"/>
      <c r="X45"/>
      <c r="Y45"/>
      <c r="Z45"/>
      <c r="AA45"/>
      <c r="AB45"/>
      <c r="AC45"/>
      <c r="AD45"/>
      <c r="AE45"/>
      <c r="AF45"/>
      <c r="AG45"/>
      <c r="AH45"/>
      <c r="AI45"/>
      <c r="AJ45"/>
      <c r="AK45"/>
      <c r="AL45"/>
      <c r="AM45"/>
      <c r="AN45"/>
      <c r="AO45"/>
      <c r="AP45"/>
      <c r="AQ45"/>
      <c r="AR45"/>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row>
    <row r="46" spans="1:104" s="2" customFormat="1" x14ac:dyDescent="0.45">
      <c r="A46" s="180" t="s">
        <v>43</v>
      </c>
      <c r="B46" s="73">
        <v>2</v>
      </c>
      <c r="C46" s="73"/>
      <c r="D46" s="180" t="s">
        <v>277</v>
      </c>
      <c r="E46" s="39">
        <v>43603</v>
      </c>
      <c r="F46" s="179">
        <v>0.35416666666666669</v>
      </c>
      <c r="G46" s="180">
        <v>3</v>
      </c>
      <c r="H46" s="180"/>
      <c r="I46" s="180"/>
      <c r="J46" s="180"/>
      <c r="K46" s="180"/>
      <c r="L46" s="180"/>
      <c r="M46" s="180"/>
      <c r="N46" s="180"/>
      <c r="O46" s="180"/>
      <c r="P46" s="180"/>
      <c r="Q46"/>
      <c r="R46"/>
      <c r="S46"/>
      <c r="T46"/>
      <c r="U46"/>
      <c r="V46"/>
      <c r="W46"/>
      <c r="X46"/>
      <c r="Y46"/>
      <c r="Z46"/>
      <c r="AA46"/>
      <c r="AB46"/>
      <c r="AC46"/>
      <c r="AD46"/>
      <c r="AE46"/>
      <c r="AF46"/>
      <c r="AG46"/>
      <c r="AH46"/>
      <c r="AI46"/>
      <c r="AJ46"/>
      <c r="AK46"/>
      <c r="AL46"/>
      <c r="AM46"/>
      <c r="AN46"/>
      <c r="AO46"/>
      <c r="AP46"/>
      <c r="AQ46"/>
      <c r="AR46"/>
      <c r="AS46" s="180"/>
      <c r="AT46" s="180"/>
      <c r="AU46" s="180"/>
      <c r="AV46" s="180"/>
      <c r="AW46" s="180"/>
      <c r="AX46" s="180"/>
      <c r="AY46" s="180"/>
      <c r="AZ46" s="180"/>
      <c r="BA46" s="180"/>
      <c r="BB46" s="180"/>
      <c r="BC46" s="180"/>
      <c r="BD46" s="180"/>
      <c r="BE46" s="180"/>
      <c r="BF46" s="180"/>
      <c r="BG46" s="180"/>
      <c r="BH46" s="196"/>
      <c r="BI46" s="197">
        <v>42838</v>
      </c>
      <c r="BJ46" s="198">
        <v>42839</v>
      </c>
      <c r="BK46" s="198">
        <v>42840</v>
      </c>
      <c r="BL46" s="198">
        <v>42841</v>
      </c>
      <c r="BM46" s="198">
        <v>42842</v>
      </c>
      <c r="BN46" s="198">
        <v>42843</v>
      </c>
      <c r="BO46" s="198">
        <v>42844</v>
      </c>
      <c r="BP46" s="198">
        <v>42845</v>
      </c>
      <c r="BQ46" s="198">
        <v>42846</v>
      </c>
      <c r="BR46" s="198">
        <v>42847</v>
      </c>
      <c r="BS46" s="198">
        <v>42848</v>
      </c>
      <c r="BT46" s="198">
        <v>42849</v>
      </c>
      <c r="BU46" s="198">
        <v>42850</v>
      </c>
      <c r="BV46" s="199">
        <v>42851</v>
      </c>
      <c r="BW46" s="198">
        <v>42852</v>
      </c>
      <c r="BX46" s="198">
        <v>42853</v>
      </c>
      <c r="BY46" s="198">
        <v>42854</v>
      </c>
      <c r="BZ46" s="198">
        <v>42855</v>
      </c>
      <c r="CA46" s="200">
        <v>42856</v>
      </c>
      <c r="CB46" s="200">
        <v>42857</v>
      </c>
      <c r="CC46" s="200">
        <v>42858</v>
      </c>
      <c r="CD46" s="200">
        <v>42859</v>
      </c>
      <c r="CE46" s="200">
        <v>42860</v>
      </c>
      <c r="CF46" s="200">
        <v>42861</v>
      </c>
      <c r="CG46" s="200">
        <v>42862</v>
      </c>
      <c r="CH46" s="200">
        <v>42863</v>
      </c>
      <c r="CI46" s="200">
        <v>42864</v>
      </c>
      <c r="CJ46" s="200">
        <v>42865</v>
      </c>
      <c r="CK46" s="200">
        <v>42866</v>
      </c>
      <c r="CL46" s="200">
        <v>42867</v>
      </c>
      <c r="CM46" s="200">
        <v>42868</v>
      </c>
      <c r="CN46" s="200">
        <v>42869</v>
      </c>
      <c r="CO46" s="200">
        <v>42870</v>
      </c>
      <c r="CP46" s="200">
        <v>42871</v>
      </c>
      <c r="CQ46" s="200">
        <v>42872</v>
      </c>
      <c r="CR46" s="200">
        <v>42873</v>
      </c>
      <c r="CS46" s="200">
        <v>42874</v>
      </c>
      <c r="CT46" s="200">
        <v>42875</v>
      </c>
      <c r="CU46" s="200">
        <v>42876</v>
      </c>
      <c r="CV46" s="200">
        <v>42877</v>
      </c>
      <c r="CW46" s="200">
        <v>42878</v>
      </c>
      <c r="CX46" s="191" t="s">
        <v>24</v>
      </c>
      <c r="CY46" s="180"/>
      <c r="CZ46" s="180"/>
    </row>
    <row r="47" spans="1:104" s="2" customFormat="1" x14ac:dyDescent="0.45">
      <c r="A47" s="180" t="s">
        <v>43</v>
      </c>
      <c r="B47" s="73">
        <v>1</v>
      </c>
      <c r="C47" s="73">
        <v>1</v>
      </c>
      <c r="D47" s="180" t="s">
        <v>302</v>
      </c>
      <c r="E47" s="39">
        <v>43605</v>
      </c>
      <c r="F47" s="179">
        <v>0.65277777777777779</v>
      </c>
      <c r="G47" s="180">
        <v>1</v>
      </c>
      <c r="H47" s="180"/>
      <c r="I47" s="180"/>
      <c r="J47" s="180"/>
      <c r="K47" s="180"/>
      <c r="L47" s="180"/>
      <c r="M47" s="180"/>
      <c r="N47" s="180"/>
      <c r="O47" s="180"/>
      <c r="P47" s="180"/>
      <c r="Q47"/>
      <c r="R47"/>
      <c r="S47"/>
      <c r="T47"/>
      <c r="U47"/>
      <c r="V47"/>
      <c r="W47"/>
      <c r="X47"/>
      <c r="Y47"/>
      <c r="Z47"/>
      <c r="AA47"/>
      <c r="AB47"/>
      <c r="AC47"/>
      <c r="AD47"/>
      <c r="AE47"/>
      <c r="AF47"/>
      <c r="AG47"/>
      <c r="AH47"/>
      <c r="AI47"/>
      <c r="AJ47"/>
      <c r="AK47"/>
      <c r="AL47"/>
      <c r="AM47"/>
      <c r="AN47"/>
      <c r="AO47"/>
      <c r="AP47"/>
      <c r="AQ47"/>
      <c r="AR47"/>
      <c r="AS47" s="180"/>
      <c r="AT47" s="180"/>
      <c r="AU47" s="180"/>
      <c r="AV47" s="180"/>
      <c r="AW47" s="180"/>
      <c r="AX47" s="180"/>
      <c r="AY47" s="180"/>
      <c r="AZ47" s="180"/>
      <c r="BA47" s="180"/>
      <c r="BB47" s="180"/>
      <c r="BC47" s="180"/>
      <c r="BD47" s="180"/>
      <c r="BE47" s="180"/>
      <c r="BF47" s="180"/>
      <c r="BG47" s="180"/>
      <c r="BH47" s="170" t="s">
        <v>193</v>
      </c>
      <c r="BI47" s="86">
        <v>0</v>
      </c>
      <c r="BJ47" s="86">
        <v>0</v>
      </c>
      <c r="BK47" s="86">
        <v>0</v>
      </c>
      <c r="BL47" s="86">
        <v>0</v>
      </c>
      <c r="BM47" s="86">
        <v>0</v>
      </c>
      <c r="BN47" s="86">
        <v>0</v>
      </c>
      <c r="BO47" s="86">
        <v>0</v>
      </c>
      <c r="BP47" s="86">
        <v>0</v>
      </c>
      <c r="BQ47" s="86">
        <v>0</v>
      </c>
      <c r="BR47" s="86">
        <v>2</v>
      </c>
      <c r="BS47" s="86">
        <v>1</v>
      </c>
      <c r="BT47" s="86">
        <v>0</v>
      </c>
      <c r="BU47" s="86">
        <v>6</v>
      </c>
      <c r="BV47" s="86">
        <v>38</v>
      </c>
      <c r="BW47" s="86">
        <v>41</v>
      </c>
      <c r="BX47" s="86">
        <v>63</v>
      </c>
      <c r="BY47" s="86">
        <v>60</v>
      </c>
      <c r="BZ47" s="86">
        <v>0</v>
      </c>
      <c r="CA47" s="86">
        <v>21</v>
      </c>
      <c r="CB47" s="86">
        <v>4</v>
      </c>
      <c r="CC47" s="86">
        <v>5551</v>
      </c>
      <c r="CD47" s="86">
        <v>8879</v>
      </c>
      <c r="CE47" s="86">
        <v>9275</v>
      </c>
      <c r="CF47" s="86">
        <v>3891</v>
      </c>
      <c r="CG47" s="86">
        <v>3401</v>
      </c>
      <c r="CH47" s="86">
        <v>3482</v>
      </c>
      <c r="CI47" s="86">
        <v>3960</v>
      </c>
      <c r="CJ47" s="86">
        <v>171459</v>
      </c>
      <c r="CK47" s="86">
        <v>3119</v>
      </c>
      <c r="CL47" s="86">
        <v>1860</v>
      </c>
      <c r="CM47" s="86">
        <v>2894</v>
      </c>
      <c r="CN47" s="86">
        <v>113</v>
      </c>
      <c r="CO47" s="86">
        <v>0</v>
      </c>
      <c r="CP47" s="86">
        <v>27</v>
      </c>
      <c r="CQ47" s="86">
        <v>32</v>
      </c>
      <c r="CR47" s="86">
        <v>267</v>
      </c>
      <c r="CS47" s="86">
        <v>26</v>
      </c>
      <c r="CT47" s="86">
        <v>61</v>
      </c>
      <c r="CU47" s="86">
        <v>0</v>
      </c>
      <c r="CV47" s="86">
        <v>0</v>
      </c>
      <c r="CW47" s="86">
        <v>36</v>
      </c>
      <c r="CX47" s="86">
        <f>SUM(BI47:CW47)</f>
        <v>218569</v>
      </c>
      <c r="CY47" s="180"/>
      <c r="CZ47" s="180"/>
    </row>
    <row r="48" spans="1:104" x14ac:dyDescent="0.45">
      <c r="A48" s="180" t="s">
        <v>43</v>
      </c>
      <c r="B48" s="73">
        <v>2</v>
      </c>
      <c r="C48" s="73">
        <v>2</v>
      </c>
      <c r="D48" s="180" t="s">
        <v>299</v>
      </c>
      <c r="E48" s="39">
        <v>43605</v>
      </c>
      <c r="F48" s="179">
        <v>0.65625</v>
      </c>
      <c r="G48" s="180">
        <v>1</v>
      </c>
      <c r="H48" s="180"/>
      <c r="I48" s="180"/>
      <c r="J48" s="180"/>
      <c r="K48" s="180"/>
      <c r="L48" s="180"/>
      <c r="M48" s="180"/>
      <c r="N48" s="180"/>
      <c r="O48" s="180"/>
      <c r="P48" s="180"/>
      <c r="AS48" s="180"/>
      <c r="AT48" s="180"/>
      <c r="AU48" s="180"/>
      <c r="AV48" s="180"/>
      <c r="AW48" s="180"/>
      <c r="AX48" s="180"/>
      <c r="AY48" s="180"/>
      <c r="AZ48" s="180"/>
      <c r="BA48" s="180"/>
      <c r="BB48" s="180"/>
      <c r="BC48" s="180"/>
      <c r="BD48" s="180"/>
      <c r="BE48" s="180"/>
      <c r="BF48" s="180"/>
      <c r="BG48" s="180"/>
      <c r="BH48" s="95" t="s">
        <v>195</v>
      </c>
      <c r="BI48" s="86">
        <v>0</v>
      </c>
      <c r="BJ48" s="86"/>
      <c r="BK48" s="86"/>
      <c r="BL48" s="86"/>
      <c r="BM48" s="86"/>
      <c r="BN48" s="86">
        <v>0</v>
      </c>
      <c r="BO48" s="86"/>
      <c r="BP48" s="86"/>
      <c r="BQ48" s="86"/>
      <c r="BR48" s="86"/>
      <c r="BS48" s="86">
        <v>0</v>
      </c>
      <c r="BT48" s="86"/>
      <c r="BU48" s="86"/>
      <c r="BV48" s="86"/>
      <c r="BW48" s="86"/>
      <c r="BX48" s="86">
        <v>63</v>
      </c>
      <c r="BY48" s="86"/>
      <c r="BZ48" s="86"/>
      <c r="CA48" s="86"/>
      <c r="CB48" s="86"/>
      <c r="CC48" s="86">
        <v>1854</v>
      </c>
      <c r="CD48" s="86"/>
      <c r="CE48" s="86"/>
      <c r="CF48" s="86"/>
      <c r="CG48" s="86"/>
      <c r="CH48" s="86">
        <v>3347</v>
      </c>
      <c r="CI48" s="86"/>
      <c r="CJ48" s="86"/>
      <c r="CK48" s="86"/>
      <c r="CL48" s="86"/>
      <c r="CM48" s="86">
        <v>2721</v>
      </c>
      <c r="CN48" s="86"/>
      <c r="CO48" s="86"/>
      <c r="CP48" s="86"/>
      <c r="CQ48" s="86"/>
      <c r="CR48" s="86">
        <v>267</v>
      </c>
      <c r="CS48" s="86"/>
      <c r="CT48" s="86"/>
      <c r="CU48" s="86"/>
      <c r="CV48" s="86"/>
      <c r="CW48" s="86">
        <v>36</v>
      </c>
      <c r="CX48" s="86">
        <v>8287</v>
      </c>
      <c r="CY48" s="180"/>
      <c r="CZ48" s="180"/>
    </row>
    <row r="49" spans="1:104" x14ac:dyDescent="0.45">
      <c r="A49" s="180" t="s">
        <v>43</v>
      </c>
      <c r="B49" s="73">
        <v>4</v>
      </c>
      <c r="C49" s="73">
        <v>4</v>
      </c>
      <c r="D49" s="180" t="s">
        <v>278</v>
      </c>
      <c r="E49" s="39">
        <v>43608</v>
      </c>
      <c r="F49" s="179">
        <v>0.41666666666666669</v>
      </c>
      <c r="G49" s="180">
        <v>1</v>
      </c>
      <c r="H49" s="180" t="s">
        <v>303</v>
      </c>
      <c r="I49" s="180"/>
      <c r="J49" s="180"/>
      <c r="K49" s="180"/>
      <c r="L49" s="180"/>
      <c r="M49" s="180"/>
      <c r="N49" s="180"/>
      <c r="O49" s="180"/>
      <c r="P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0"/>
      <c r="BR49" s="180"/>
      <c r="BS49" s="180"/>
      <c r="BT49" s="180"/>
      <c r="BU49" s="180"/>
      <c r="BV49" s="180"/>
      <c r="BW49" s="180"/>
      <c r="BX49" s="180"/>
      <c r="BY49" s="180"/>
      <c r="BZ49" s="180"/>
      <c r="CA49" s="180"/>
      <c r="CB49" s="180"/>
      <c r="CC49" s="180"/>
      <c r="CD49" s="180"/>
      <c r="CE49" s="180"/>
      <c r="CF49" s="180"/>
      <c r="CG49" s="180"/>
      <c r="CH49" s="180"/>
      <c r="CI49" s="180"/>
      <c r="CJ49" s="180"/>
      <c r="CK49" s="180"/>
      <c r="CL49" s="180"/>
      <c r="CM49" s="180"/>
      <c r="CN49" s="180"/>
      <c r="CO49" s="180"/>
      <c r="CP49" s="180"/>
      <c r="CQ49" s="180"/>
      <c r="CR49" s="180"/>
      <c r="CS49" s="180"/>
      <c r="CT49" s="180"/>
      <c r="CU49" s="180"/>
      <c r="CV49" s="180"/>
      <c r="CW49" s="180"/>
      <c r="CX49" s="17"/>
      <c r="CY49" s="180"/>
      <c r="CZ49" s="180"/>
    </row>
    <row r="50" spans="1:104" x14ac:dyDescent="0.45">
      <c r="A50" s="180" t="s">
        <v>43</v>
      </c>
      <c r="B50" s="73">
        <v>3</v>
      </c>
      <c r="C50" s="73">
        <v>3</v>
      </c>
      <c r="D50" s="180" t="s">
        <v>299</v>
      </c>
      <c r="E50" s="39">
        <v>43611</v>
      </c>
      <c r="F50" s="179">
        <v>0.55208333333333337</v>
      </c>
      <c r="G50" s="180">
        <v>1</v>
      </c>
      <c r="H50" s="180"/>
      <c r="I50" s="180"/>
      <c r="J50" s="180"/>
      <c r="K50" s="180"/>
      <c r="L50" s="180"/>
      <c r="M50" s="180"/>
      <c r="N50" s="180"/>
      <c r="O50" s="180"/>
      <c r="P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0"/>
      <c r="BR50" s="180"/>
      <c r="BS50" s="180"/>
      <c r="BT50" s="180"/>
      <c r="BU50" s="180"/>
      <c r="BV50" s="180"/>
      <c r="BW50" s="180"/>
      <c r="BX50" s="180"/>
      <c r="BY50" s="180"/>
      <c r="BZ50" s="180"/>
      <c r="CA50" s="180"/>
      <c r="CB50" s="180"/>
      <c r="CC50" s="180"/>
      <c r="CD50" s="180"/>
      <c r="CE50" s="180"/>
      <c r="CF50" s="180"/>
      <c r="CG50" s="180"/>
      <c r="CH50" s="180"/>
      <c r="CI50" s="180"/>
      <c r="CJ50" s="180"/>
      <c r="CK50" s="180"/>
      <c r="CL50" s="180"/>
      <c r="CM50" s="180"/>
      <c r="CN50" s="180"/>
      <c r="CO50" s="180"/>
      <c r="CP50" s="180"/>
      <c r="CQ50" s="180"/>
      <c r="CR50" s="180"/>
      <c r="CS50" s="180"/>
      <c r="CT50" s="180"/>
      <c r="CU50" s="180"/>
      <c r="CV50" s="180"/>
      <c r="CW50" s="180"/>
      <c r="CX50" s="180"/>
      <c r="CY50" s="180"/>
      <c r="CZ50" s="180"/>
    </row>
    <row r="51" spans="1:104" x14ac:dyDescent="0.45">
      <c r="A51" s="180" t="s">
        <v>43</v>
      </c>
      <c r="B51" s="73">
        <v>1</v>
      </c>
      <c r="C51" s="73">
        <v>1</v>
      </c>
      <c r="D51" s="180" t="s">
        <v>304</v>
      </c>
      <c r="E51" s="39">
        <v>43616</v>
      </c>
      <c r="F51" s="179">
        <v>0.51458333333333328</v>
      </c>
      <c r="G51" s="180">
        <v>8</v>
      </c>
      <c r="H51" s="180"/>
      <c r="I51" s="180" t="s">
        <v>305</v>
      </c>
      <c r="J51" s="180"/>
      <c r="K51" s="180"/>
      <c r="L51" s="180"/>
      <c r="M51" s="180"/>
      <c r="N51" s="180"/>
      <c r="O51" s="180"/>
      <c r="P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c r="BW51" s="180"/>
      <c r="BX51" s="180"/>
      <c r="BY51" s="180"/>
      <c r="BZ51" s="180"/>
      <c r="CA51" s="180"/>
      <c r="CB51" s="180"/>
      <c r="CC51" s="180"/>
      <c r="CD51" s="180"/>
      <c r="CE51" s="180"/>
      <c r="CF51" s="180"/>
      <c r="CG51" s="180"/>
      <c r="CH51" s="180"/>
      <c r="CI51" s="180"/>
      <c r="CJ51" s="180"/>
      <c r="CK51" s="180"/>
      <c r="CL51" s="180"/>
      <c r="CM51" s="180"/>
      <c r="CN51" s="180"/>
      <c r="CO51" s="180"/>
      <c r="CP51" s="180"/>
      <c r="CQ51" s="180"/>
      <c r="CR51" s="180"/>
      <c r="CS51" s="180"/>
      <c r="CT51" s="180"/>
      <c r="CU51" s="180"/>
      <c r="CV51" s="180"/>
      <c r="CW51" s="180"/>
      <c r="CX51" s="180"/>
      <c r="CY51" s="180"/>
      <c r="CZ51" s="180"/>
    </row>
    <row r="52" spans="1:104" x14ac:dyDescent="0.45">
      <c r="A52" s="1" t="s">
        <v>273</v>
      </c>
      <c r="B52" s="73"/>
      <c r="C52" s="73">
        <f>SUM(C16:C51)</f>
        <v>53</v>
      </c>
      <c r="D52" s="180"/>
      <c r="E52" s="39"/>
      <c r="F52" s="179"/>
      <c r="G52" s="180"/>
      <c r="H52" s="180"/>
      <c r="I52" s="180"/>
      <c r="J52" s="180"/>
      <c r="K52" s="180"/>
      <c r="L52" s="180"/>
      <c r="M52" s="180"/>
      <c r="N52" s="180"/>
      <c r="O52" s="180"/>
      <c r="P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0"/>
      <c r="BR52" s="180"/>
      <c r="BS52" s="180"/>
      <c r="BT52" s="180"/>
      <c r="BU52" s="180"/>
      <c r="BV52" s="180"/>
      <c r="BW52" s="180"/>
      <c r="BX52" s="180"/>
      <c r="BY52" s="180"/>
      <c r="BZ52" s="180"/>
      <c r="CA52" s="180"/>
      <c r="CB52" s="180"/>
      <c r="CC52" s="180"/>
      <c r="CD52" s="180"/>
      <c r="CE52" s="180"/>
      <c r="CF52" s="180"/>
      <c r="CG52" s="180"/>
      <c r="CH52" s="180"/>
      <c r="CI52" s="180"/>
      <c r="CJ52" s="180"/>
      <c r="CK52" s="180"/>
      <c r="CL52" s="180"/>
      <c r="CM52" s="180"/>
      <c r="CN52" s="180"/>
      <c r="CO52" s="180"/>
      <c r="CP52" s="180"/>
      <c r="CQ52" s="180"/>
      <c r="CR52" s="180"/>
      <c r="CS52" s="180"/>
      <c r="CT52" s="180"/>
      <c r="CU52" s="180"/>
      <c r="CV52" s="180"/>
      <c r="CW52" s="180"/>
      <c r="CX52" s="180"/>
      <c r="CY52" s="180"/>
      <c r="CZ52" s="180"/>
    </row>
    <row r="53" spans="1:104" x14ac:dyDescent="0.45">
      <c r="A53" s="1"/>
      <c r="B53" s="73"/>
      <c r="C53" s="73"/>
      <c r="D53" s="180"/>
      <c r="E53" s="39"/>
      <c r="F53" s="179"/>
      <c r="G53" s="180"/>
      <c r="H53" s="180"/>
      <c r="I53" s="180"/>
      <c r="J53" s="180"/>
      <c r="K53" s="180"/>
      <c r="L53" s="180"/>
      <c r="M53" s="180"/>
      <c r="N53" s="180"/>
      <c r="O53" s="180"/>
      <c r="P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0"/>
      <c r="BR53" s="180"/>
      <c r="BS53" s="180"/>
      <c r="BT53" s="180"/>
      <c r="BU53" s="180"/>
      <c r="BV53" s="180"/>
      <c r="BW53" s="180"/>
      <c r="BX53" s="180"/>
      <c r="BY53" s="180"/>
      <c r="BZ53" s="180"/>
      <c r="CA53" s="180"/>
      <c r="CB53" s="180"/>
      <c r="CC53" s="180"/>
      <c r="CD53" s="180"/>
      <c r="CE53" s="180"/>
      <c r="CF53" s="180"/>
      <c r="CG53" s="180"/>
      <c r="CH53" s="180"/>
      <c r="CI53" s="180"/>
      <c r="CJ53" s="180"/>
      <c r="CK53" s="180"/>
      <c r="CL53" s="180"/>
      <c r="CM53" s="180"/>
      <c r="CN53" s="180"/>
      <c r="CO53" s="180"/>
      <c r="CP53" s="180"/>
      <c r="CQ53" s="180"/>
      <c r="CR53" s="180"/>
      <c r="CS53" s="180"/>
      <c r="CT53" s="180"/>
      <c r="CU53" s="180"/>
      <c r="CV53" s="180"/>
      <c r="CW53" s="180"/>
      <c r="CX53" s="180"/>
      <c r="CY53" s="180"/>
      <c r="CZ53" s="180"/>
    </row>
    <row r="54" spans="1:104" x14ac:dyDescent="0.45">
      <c r="A54" s="180" t="s">
        <v>80</v>
      </c>
      <c r="B54" s="73">
        <v>2</v>
      </c>
      <c r="C54" s="73">
        <v>2</v>
      </c>
      <c r="D54" s="180" t="s">
        <v>306</v>
      </c>
      <c r="E54" s="39">
        <v>43566</v>
      </c>
      <c r="F54" s="179">
        <v>0.33333333333333331</v>
      </c>
      <c r="G54" s="180">
        <v>20</v>
      </c>
      <c r="H54" s="180" t="s">
        <v>307</v>
      </c>
      <c r="I54" s="180"/>
      <c r="J54" s="180"/>
      <c r="K54" s="180"/>
      <c r="L54" s="180"/>
      <c r="M54" s="180"/>
      <c r="N54" s="180"/>
      <c r="O54" s="180"/>
      <c r="P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0"/>
      <c r="BR54" s="180"/>
      <c r="BS54" s="180"/>
      <c r="BT54" s="180"/>
      <c r="BU54" s="180"/>
      <c r="BV54" s="180"/>
      <c r="BW54" s="180"/>
      <c r="BX54" s="180"/>
      <c r="BY54" s="180"/>
      <c r="BZ54" s="180"/>
      <c r="CA54" s="180"/>
      <c r="CB54" s="180"/>
      <c r="CC54" s="180"/>
      <c r="CD54" s="180"/>
      <c r="CE54" s="180"/>
      <c r="CF54" s="180"/>
      <c r="CG54" s="180"/>
      <c r="CH54" s="180"/>
      <c r="CI54" s="180"/>
      <c r="CJ54" s="180"/>
      <c r="CK54" s="180"/>
      <c r="CL54" s="180"/>
      <c r="CM54" s="180"/>
      <c r="CN54" s="180"/>
      <c r="CO54" s="180"/>
      <c r="CP54" s="180"/>
      <c r="CQ54" s="180"/>
      <c r="CR54" s="180"/>
      <c r="CS54" s="180"/>
      <c r="CT54" s="180"/>
      <c r="CU54" s="180"/>
      <c r="CV54" s="180"/>
      <c r="CW54" s="180"/>
      <c r="CX54" s="180"/>
      <c r="CY54" s="180"/>
      <c r="CZ54" s="180"/>
    </row>
    <row r="55" spans="1:104" x14ac:dyDescent="0.45">
      <c r="A55" s="180" t="s">
        <v>80</v>
      </c>
      <c r="B55" s="73">
        <v>5</v>
      </c>
      <c r="C55" s="73">
        <v>5</v>
      </c>
      <c r="D55" s="180" t="s">
        <v>308</v>
      </c>
      <c r="E55" s="39">
        <v>43585</v>
      </c>
      <c r="F55" s="179">
        <v>0.45277777777777778</v>
      </c>
      <c r="G55" s="180">
        <v>2</v>
      </c>
      <c r="H55" s="180"/>
      <c r="I55" s="180"/>
      <c r="J55" s="180"/>
      <c r="K55" s="180"/>
      <c r="L55" s="180"/>
      <c r="M55" s="180"/>
      <c r="N55" s="180"/>
      <c r="O55" s="180"/>
      <c r="P55" s="180"/>
      <c r="AS55" s="180"/>
      <c r="AT55" s="180"/>
      <c r="AU55" s="180"/>
      <c r="AV55" s="180"/>
      <c r="AW55" s="180"/>
      <c r="AX55" s="180"/>
      <c r="AY55" s="180"/>
      <c r="AZ55" s="180"/>
      <c r="BA55" s="180"/>
      <c r="BB55" s="180"/>
      <c r="BC55" s="180"/>
      <c r="BD55" s="180"/>
      <c r="BE55" s="180"/>
      <c r="BF55" s="180"/>
      <c r="BG55" s="180"/>
      <c r="BH55" s="180" t="s">
        <v>184</v>
      </c>
      <c r="BI55" s="180"/>
      <c r="BJ55" s="180"/>
      <c r="BK55" s="180"/>
      <c r="BL55" s="180"/>
      <c r="BM55" s="180"/>
      <c r="BN55" s="180"/>
      <c r="BO55" s="180"/>
      <c r="BP55" s="180"/>
      <c r="BQ55" s="180"/>
      <c r="BR55" s="180"/>
      <c r="BS55" s="180"/>
      <c r="BT55" s="180"/>
      <c r="BU55" s="180"/>
      <c r="BV55" s="180"/>
      <c r="BW55" s="180"/>
      <c r="BX55" s="180"/>
      <c r="BY55" s="180"/>
      <c r="BZ55" s="180"/>
      <c r="CA55" s="180"/>
      <c r="CB55" s="180"/>
      <c r="CC55" s="180"/>
      <c r="CD55" s="180"/>
      <c r="CE55" s="180"/>
      <c r="CF55" s="180"/>
      <c r="CG55" s="180"/>
      <c r="CH55" s="180"/>
      <c r="CI55" s="180"/>
      <c r="CJ55" s="180"/>
      <c r="CK55" s="180"/>
      <c r="CL55" s="180"/>
      <c r="CM55" s="180"/>
      <c r="CN55" s="180"/>
      <c r="CO55" s="180"/>
      <c r="CP55" s="180"/>
      <c r="CQ55" s="180"/>
      <c r="CR55" s="180"/>
      <c r="CS55" s="180"/>
      <c r="CT55" s="180"/>
      <c r="CU55" s="180"/>
      <c r="CV55" s="180"/>
      <c r="CW55" s="180"/>
      <c r="CX55" s="180"/>
      <c r="CY55" s="180"/>
      <c r="CZ55" s="180"/>
    </row>
    <row r="56" spans="1:104" x14ac:dyDescent="0.45">
      <c r="A56" s="180" t="s">
        <v>80</v>
      </c>
      <c r="B56" s="73">
        <v>1</v>
      </c>
      <c r="C56" s="73"/>
      <c r="D56" s="180" t="s">
        <v>128</v>
      </c>
      <c r="E56" s="39">
        <v>43585</v>
      </c>
      <c r="F56" s="179">
        <v>0.54097222222222219</v>
      </c>
      <c r="G56" s="180">
        <v>1</v>
      </c>
      <c r="H56" s="180"/>
      <c r="I56" s="180"/>
      <c r="J56" s="180"/>
      <c r="K56" s="180"/>
      <c r="L56" s="180"/>
      <c r="M56" s="180"/>
      <c r="N56" s="180"/>
      <c r="O56" s="180"/>
      <c r="P56" s="180"/>
      <c r="AS56" s="180"/>
      <c r="AT56" s="180"/>
      <c r="AU56" s="180"/>
      <c r="AV56" s="180"/>
      <c r="AW56" s="180"/>
      <c r="AX56" s="180"/>
      <c r="AY56" s="180"/>
      <c r="AZ56" s="180"/>
      <c r="BA56" s="180"/>
      <c r="BB56" s="180"/>
      <c r="BC56" s="180"/>
      <c r="BD56" s="180"/>
      <c r="BE56" s="180"/>
      <c r="BF56" s="180"/>
      <c r="BG56" s="180"/>
      <c r="BH56" s="180" t="s">
        <v>56</v>
      </c>
      <c r="BI56" s="180"/>
      <c r="BJ56" s="180"/>
      <c r="BK56" s="180"/>
      <c r="BL56" s="180"/>
      <c r="BM56" s="180"/>
      <c r="BN56" s="180"/>
      <c r="BO56" s="180"/>
      <c r="BP56" s="180"/>
      <c r="BQ56" s="180"/>
      <c r="BR56" s="180"/>
      <c r="BS56" s="180"/>
      <c r="BT56" s="180"/>
      <c r="BU56" s="180"/>
      <c r="BV56" s="180"/>
      <c r="BW56" s="180"/>
      <c r="BX56" s="180"/>
      <c r="BY56" s="180"/>
      <c r="BZ56" s="180"/>
      <c r="CA56" s="180"/>
      <c r="CB56" s="180"/>
      <c r="CC56" s="180"/>
      <c r="CD56" s="180"/>
      <c r="CE56" s="180"/>
      <c r="CF56" s="180"/>
      <c r="CG56" s="180"/>
      <c r="CH56" s="180"/>
      <c r="CI56" s="180"/>
      <c r="CJ56" s="180"/>
      <c r="CK56" s="180"/>
      <c r="CL56" s="180"/>
      <c r="CM56" s="180"/>
      <c r="CN56" s="180"/>
      <c r="CO56" s="180"/>
      <c r="CP56" s="180"/>
      <c r="CQ56" s="180"/>
      <c r="CR56" s="180"/>
      <c r="CS56" s="180"/>
      <c r="CT56" s="180"/>
      <c r="CU56" s="180"/>
      <c r="CV56" s="180"/>
      <c r="CW56" s="180"/>
      <c r="CX56" s="180"/>
      <c r="CY56" s="180"/>
      <c r="CZ56" s="180"/>
    </row>
    <row r="57" spans="1:104" x14ac:dyDescent="0.45">
      <c r="A57" s="180" t="s">
        <v>80</v>
      </c>
      <c r="B57" s="73">
        <v>1</v>
      </c>
      <c r="C57" s="73">
        <v>1</v>
      </c>
      <c r="D57" s="180" t="s">
        <v>309</v>
      </c>
      <c r="E57" s="39">
        <v>43585</v>
      </c>
      <c r="F57" s="179">
        <v>0.59930555555555554</v>
      </c>
      <c r="G57" s="180">
        <v>2</v>
      </c>
      <c r="H57" s="180"/>
      <c r="I57" s="180"/>
      <c r="J57" s="180"/>
      <c r="K57" s="180"/>
      <c r="L57" s="180"/>
      <c r="M57" s="180"/>
      <c r="N57" s="180"/>
      <c r="O57" s="180"/>
      <c r="P57" s="180"/>
      <c r="AS57" s="180"/>
      <c r="AT57" s="180"/>
      <c r="AU57" s="180"/>
      <c r="AV57" s="180"/>
      <c r="AW57" s="180"/>
      <c r="AX57" s="180"/>
      <c r="AY57" s="180"/>
      <c r="AZ57" s="180"/>
      <c r="BA57" s="180"/>
      <c r="BB57" s="180"/>
      <c r="BC57" s="180"/>
      <c r="BD57" s="180"/>
      <c r="BE57" s="180"/>
      <c r="BF57" s="180"/>
      <c r="BG57" s="180"/>
      <c r="BH57" s="180" t="s">
        <v>143</v>
      </c>
      <c r="BI57" s="180"/>
      <c r="BJ57" s="180"/>
      <c r="BK57" s="180"/>
      <c r="BL57" s="180"/>
      <c r="BM57" s="180"/>
      <c r="BN57" s="180"/>
      <c r="BO57" s="180"/>
      <c r="BP57" s="180"/>
      <c r="BQ57" s="180"/>
      <c r="BR57" s="180"/>
      <c r="BS57" s="180"/>
      <c r="BT57" s="180"/>
      <c r="BU57" s="180"/>
      <c r="BV57" s="180"/>
      <c r="BW57" s="180"/>
      <c r="BX57" s="180"/>
      <c r="BY57" s="180"/>
      <c r="BZ57" s="180"/>
      <c r="CA57" s="180"/>
      <c r="CB57" s="180"/>
      <c r="CC57" s="180"/>
      <c r="CD57" s="180"/>
      <c r="CE57" s="180"/>
      <c r="CF57" s="180"/>
      <c r="CG57" s="180"/>
      <c r="CH57" s="180"/>
      <c r="CI57" s="180"/>
      <c r="CJ57" s="180"/>
      <c r="CK57" s="180"/>
      <c r="CL57" s="180"/>
      <c r="CM57" s="180"/>
      <c r="CN57" s="180"/>
      <c r="CO57" s="180"/>
      <c r="CP57" s="180"/>
      <c r="CQ57" s="180"/>
      <c r="CR57" s="180"/>
      <c r="CS57" s="180"/>
      <c r="CT57" s="180"/>
      <c r="CU57" s="180"/>
      <c r="CV57" s="180"/>
      <c r="CW57" s="180"/>
      <c r="CX57" s="180"/>
      <c r="CY57" s="180"/>
      <c r="CZ57" s="180"/>
    </row>
    <row r="58" spans="1:104" x14ac:dyDescent="0.45">
      <c r="A58" s="180" t="s">
        <v>80</v>
      </c>
      <c r="B58" s="73">
        <v>1</v>
      </c>
      <c r="C58" s="73"/>
      <c r="D58" s="180" t="s">
        <v>128</v>
      </c>
      <c r="E58" s="39">
        <v>43588</v>
      </c>
      <c r="F58" s="179">
        <v>0.68125000000000002</v>
      </c>
      <c r="G58" s="180">
        <v>4</v>
      </c>
      <c r="H58" s="180" t="s">
        <v>310</v>
      </c>
      <c r="I58" s="180"/>
      <c r="J58" s="180"/>
      <c r="K58" s="180"/>
      <c r="L58" s="180"/>
      <c r="M58" s="180"/>
      <c r="N58" s="180"/>
      <c r="O58" s="180"/>
      <c r="P58" s="180"/>
      <c r="AS58" s="180"/>
      <c r="AT58" s="180"/>
      <c r="AU58" s="180"/>
      <c r="AV58" s="180"/>
      <c r="AW58" s="180"/>
      <c r="AX58" s="180"/>
      <c r="AY58" s="180"/>
      <c r="AZ58" s="180"/>
      <c r="BA58" s="180"/>
      <c r="BB58" s="180"/>
      <c r="BC58" s="180"/>
      <c r="BD58" s="180"/>
      <c r="BE58" s="180"/>
      <c r="BF58" s="180"/>
      <c r="BG58" s="180"/>
      <c r="BH58" s="90"/>
      <c r="BI58" s="180" t="s">
        <v>20</v>
      </c>
      <c r="BJ58" s="180"/>
      <c r="BK58" s="180"/>
      <c r="BL58" s="180"/>
      <c r="BM58" s="180" t="s">
        <v>21</v>
      </c>
      <c r="BN58" s="180"/>
      <c r="BO58" s="180"/>
      <c r="BP58" s="180"/>
      <c r="BQ58" s="180"/>
      <c r="BR58" s="180"/>
      <c r="BS58" s="180"/>
      <c r="BT58" s="180"/>
      <c r="BU58" s="180"/>
      <c r="BV58" s="180"/>
      <c r="BW58" s="180"/>
      <c r="BX58" s="180"/>
      <c r="BY58" s="180"/>
      <c r="BZ58" s="180"/>
      <c r="CA58" s="180"/>
      <c r="CB58" s="180"/>
      <c r="CC58" s="180"/>
      <c r="CD58" s="180"/>
      <c r="CE58" s="180"/>
      <c r="CF58" s="180"/>
      <c r="CG58" s="180"/>
      <c r="CH58" s="180"/>
      <c r="CI58" s="180"/>
      <c r="CJ58" s="180"/>
      <c r="CK58" s="180"/>
      <c r="CL58" s="180"/>
      <c r="CM58" s="180"/>
      <c r="CN58" s="180"/>
      <c r="CO58" s="180"/>
      <c r="CP58" s="180"/>
      <c r="CQ58" s="180"/>
      <c r="CR58" s="180"/>
      <c r="CS58" s="180"/>
      <c r="CT58" s="180"/>
      <c r="CU58" s="180"/>
      <c r="CV58" s="180"/>
      <c r="CW58" s="180"/>
      <c r="CX58" s="180"/>
      <c r="CY58" s="180"/>
      <c r="CZ58" s="180"/>
    </row>
    <row r="59" spans="1:104" x14ac:dyDescent="0.45">
      <c r="A59" s="180" t="s">
        <v>80</v>
      </c>
      <c r="B59" s="73">
        <v>1</v>
      </c>
      <c r="C59" s="73">
        <v>1</v>
      </c>
      <c r="D59" s="180" t="s">
        <v>311</v>
      </c>
      <c r="E59" s="39">
        <v>43588</v>
      </c>
      <c r="F59" s="179">
        <v>0.67708333333333337</v>
      </c>
      <c r="G59" s="180">
        <v>9</v>
      </c>
      <c r="H59" s="180" t="s">
        <v>312</v>
      </c>
      <c r="I59" s="180"/>
      <c r="J59" s="180"/>
      <c r="K59" s="180"/>
      <c r="L59" s="180"/>
      <c r="M59" s="180"/>
      <c r="N59" s="180"/>
      <c r="O59" s="180"/>
      <c r="P59" s="180"/>
      <c r="AS59" s="180"/>
      <c r="AT59" s="180"/>
      <c r="AU59" s="180"/>
      <c r="AV59" s="180"/>
      <c r="AW59" s="180"/>
      <c r="AX59" s="180"/>
      <c r="AY59" s="180"/>
      <c r="AZ59" s="180"/>
      <c r="BA59" s="180"/>
      <c r="BB59" s="180"/>
      <c r="BC59" s="180"/>
      <c r="BD59" s="180"/>
      <c r="BE59" s="180"/>
      <c r="BF59" s="180"/>
      <c r="BG59" s="180"/>
      <c r="BH59" s="34" t="s">
        <v>19</v>
      </c>
      <c r="BI59" s="22">
        <v>13</v>
      </c>
      <c r="BJ59" s="22">
        <v>18</v>
      </c>
      <c r="BK59" s="22">
        <v>23</v>
      </c>
      <c r="BL59" s="22">
        <v>28</v>
      </c>
      <c r="BM59" s="22">
        <v>3</v>
      </c>
      <c r="BN59" s="22">
        <v>8</v>
      </c>
      <c r="BO59" s="22">
        <v>13</v>
      </c>
      <c r="BP59" s="22">
        <v>18</v>
      </c>
      <c r="BQ59" s="22">
        <v>23</v>
      </c>
      <c r="BR59" s="22" t="s">
        <v>24</v>
      </c>
      <c r="BS59" s="180"/>
      <c r="BT59" s="180"/>
      <c r="BU59" s="180"/>
      <c r="BV59" s="180"/>
      <c r="BW59" s="180"/>
      <c r="BX59" s="180"/>
      <c r="BY59" s="180"/>
      <c r="BZ59" s="180"/>
      <c r="CA59" s="180"/>
      <c r="CB59" s="180"/>
      <c r="CC59" s="180"/>
      <c r="CD59" s="180"/>
      <c r="CE59" s="180"/>
      <c r="CF59" s="180"/>
      <c r="CG59" s="180"/>
      <c r="CH59" s="180"/>
      <c r="CI59" s="180"/>
      <c r="CJ59" s="180"/>
      <c r="CK59" s="180"/>
      <c r="CL59" s="180"/>
      <c r="CM59" s="180"/>
      <c r="CN59" s="180"/>
      <c r="CO59" s="180"/>
      <c r="CP59" s="180"/>
      <c r="CQ59" s="180"/>
      <c r="CR59" s="180"/>
      <c r="CS59" s="180"/>
      <c r="CT59" s="180"/>
      <c r="CU59" s="180"/>
      <c r="CV59" s="180"/>
      <c r="CW59" s="180"/>
      <c r="CX59" s="180"/>
      <c r="CY59" s="180"/>
      <c r="CZ59" s="180"/>
    </row>
    <row r="60" spans="1:104" x14ac:dyDescent="0.45">
      <c r="A60" s="180" t="s">
        <v>80</v>
      </c>
      <c r="B60" s="73">
        <v>16</v>
      </c>
      <c r="C60" s="73">
        <v>16</v>
      </c>
      <c r="D60" s="180" t="s">
        <v>128</v>
      </c>
      <c r="E60" s="39">
        <v>43591</v>
      </c>
      <c r="F60" s="179">
        <v>0.56666666666666665</v>
      </c>
      <c r="G60" s="180">
        <v>2</v>
      </c>
      <c r="H60" s="180" t="s">
        <v>313</v>
      </c>
      <c r="I60" s="180"/>
      <c r="J60" s="180"/>
      <c r="K60" s="180"/>
      <c r="L60" s="180"/>
      <c r="M60" s="180"/>
      <c r="N60" s="180"/>
      <c r="O60" s="180"/>
      <c r="P60" s="180"/>
      <c r="AS60" s="180"/>
      <c r="AT60" s="180"/>
      <c r="AU60" s="180"/>
      <c r="AV60" s="180"/>
      <c r="AW60" s="180"/>
      <c r="AX60" s="180"/>
      <c r="AY60" s="180"/>
      <c r="AZ60" s="180"/>
      <c r="BA60" s="180"/>
      <c r="BB60" s="180"/>
      <c r="BC60" s="180"/>
      <c r="BD60" s="180"/>
      <c r="BE60" s="180"/>
      <c r="BF60" s="180"/>
      <c r="BG60" s="180"/>
      <c r="BH60" s="90" t="s">
        <v>1</v>
      </c>
      <c r="BI60" s="86">
        <v>0</v>
      </c>
      <c r="BJ60" s="86">
        <v>0</v>
      </c>
      <c r="BK60" s="86">
        <v>3</v>
      </c>
      <c r="BL60" s="86">
        <v>10</v>
      </c>
      <c r="BM60" s="86">
        <v>30</v>
      </c>
      <c r="BN60" s="86">
        <v>52</v>
      </c>
      <c r="BO60" s="86">
        <v>54</v>
      </c>
      <c r="BP60" s="86">
        <v>55</v>
      </c>
      <c r="BQ60" s="86">
        <v>42</v>
      </c>
      <c r="BR60" s="86">
        <v>246</v>
      </c>
      <c r="BS60" s="180"/>
      <c r="BT60" s="180"/>
      <c r="BU60" s="180"/>
      <c r="BV60" s="180"/>
      <c r="BW60" s="180"/>
      <c r="BX60" s="180"/>
      <c r="BY60" s="180"/>
      <c r="BZ60" s="180"/>
      <c r="CA60" s="180"/>
      <c r="CB60" s="180"/>
      <c r="CC60" s="180"/>
      <c r="CD60" s="180"/>
      <c r="CE60" s="180"/>
      <c r="CF60" s="180"/>
      <c r="CG60" s="180"/>
      <c r="CH60" s="180"/>
      <c r="CI60" s="180"/>
      <c r="CJ60" s="180"/>
      <c r="CK60" s="180"/>
      <c r="CL60" s="180"/>
      <c r="CM60" s="180"/>
      <c r="CN60" s="180"/>
      <c r="CO60" s="180"/>
      <c r="CP60" s="180"/>
      <c r="CQ60" s="180"/>
      <c r="CR60" s="180"/>
      <c r="CS60" s="180"/>
      <c r="CT60" s="180"/>
      <c r="CU60" s="180"/>
      <c r="CV60" s="180"/>
      <c r="CW60" s="180"/>
      <c r="CX60" s="180"/>
      <c r="CY60" s="180"/>
      <c r="CZ60" s="180"/>
    </row>
    <row r="61" spans="1:104" x14ac:dyDescent="0.45">
      <c r="A61" s="180" t="s">
        <v>80</v>
      </c>
      <c r="B61" s="73">
        <v>4</v>
      </c>
      <c r="C61" s="73"/>
      <c r="D61" s="180" t="s">
        <v>306</v>
      </c>
      <c r="E61" s="39">
        <v>43591</v>
      </c>
      <c r="F61" s="179">
        <v>0.65625</v>
      </c>
      <c r="G61" s="180">
        <v>1</v>
      </c>
      <c r="H61" s="180"/>
      <c r="I61" s="180"/>
      <c r="J61" s="180"/>
      <c r="K61" s="180"/>
      <c r="L61" s="180"/>
      <c r="M61" s="180"/>
      <c r="N61" s="180"/>
      <c r="O61" s="180"/>
      <c r="P61" s="180"/>
      <c r="AS61" s="180"/>
      <c r="AT61" s="180"/>
      <c r="AU61" s="180"/>
      <c r="AV61" s="180"/>
      <c r="AW61" s="180"/>
      <c r="AX61" s="180"/>
      <c r="AY61" s="180"/>
      <c r="AZ61" s="180"/>
      <c r="BA61" s="180"/>
      <c r="BB61" s="180"/>
      <c r="BC61" s="180"/>
      <c r="BD61" s="180"/>
      <c r="BE61" s="180"/>
      <c r="BF61" s="180"/>
      <c r="BG61" s="180"/>
      <c r="BH61" s="90" t="s">
        <v>49</v>
      </c>
      <c r="BI61" s="86">
        <v>0</v>
      </c>
      <c r="BJ61" s="86">
        <v>0</v>
      </c>
      <c r="BK61" s="86">
        <v>0</v>
      </c>
      <c r="BL61" s="86">
        <v>0</v>
      </c>
      <c r="BM61" s="86">
        <v>0</v>
      </c>
      <c r="BN61" s="86">
        <v>0</v>
      </c>
      <c r="BO61" s="86">
        <v>0</v>
      </c>
      <c r="BP61" s="86">
        <v>0</v>
      </c>
      <c r="BQ61" s="86">
        <v>0</v>
      </c>
      <c r="BR61" s="86">
        <v>0</v>
      </c>
      <c r="BS61" s="180"/>
      <c r="BT61" s="180"/>
      <c r="BU61" s="180"/>
      <c r="BV61" s="180"/>
      <c r="BW61" s="180"/>
      <c r="BX61" s="180"/>
      <c r="BY61" s="180"/>
      <c r="BZ61" s="180"/>
      <c r="CA61" s="180"/>
      <c r="CB61" s="180"/>
      <c r="CC61" s="180"/>
      <c r="CD61" s="180"/>
      <c r="CE61" s="180"/>
      <c r="CF61" s="180"/>
      <c r="CG61" s="180"/>
      <c r="CH61" s="180"/>
      <c r="CI61" s="180"/>
      <c r="CJ61" s="180"/>
      <c r="CK61" s="180"/>
      <c r="CL61" s="180"/>
      <c r="CM61" s="180"/>
      <c r="CN61" s="180"/>
      <c r="CO61" s="180"/>
      <c r="CP61" s="180"/>
      <c r="CQ61" s="180"/>
      <c r="CR61" s="180"/>
      <c r="CS61" s="180"/>
      <c r="CT61" s="180"/>
      <c r="CU61" s="180"/>
      <c r="CV61" s="180"/>
      <c r="CW61" s="180"/>
      <c r="CX61" s="180"/>
      <c r="CY61" s="180"/>
      <c r="CZ61" s="180"/>
    </row>
    <row r="62" spans="1:104" x14ac:dyDescent="0.45">
      <c r="A62" s="180" t="s">
        <v>80</v>
      </c>
      <c r="B62" s="73">
        <v>2</v>
      </c>
      <c r="C62" s="73"/>
      <c r="D62" s="180" t="s">
        <v>274</v>
      </c>
      <c r="E62" s="39">
        <v>43591</v>
      </c>
      <c r="F62" s="179">
        <v>0.70763888888888893</v>
      </c>
      <c r="G62" s="180">
        <v>1</v>
      </c>
      <c r="H62" s="180"/>
      <c r="I62" s="180"/>
      <c r="J62" s="180"/>
      <c r="K62" s="180"/>
      <c r="L62" s="180"/>
      <c r="M62" s="180"/>
      <c r="N62" s="180"/>
      <c r="O62" s="180"/>
      <c r="P62" s="180"/>
      <c r="AS62" s="180"/>
      <c r="AT62" s="180"/>
      <c r="AU62" s="180"/>
      <c r="AV62" s="180"/>
      <c r="AW62" s="180"/>
      <c r="AX62" s="180"/>
      <c r="AY62" s="180"/>
      <c r="AZ62" s="180"/>
      <c r="BA62" s="180"/>
      <c r="BB62" s="180"/>
      <c r="BC62" s="180"/>
      <c r="BD62" s="180"/>
      <c r="BE62" s="180"/>
      <c r="BF62" s="180"/>
      <c r="BG62" s="180"/>
      <c r="BH62" s="90" t="s">
        <v>45</v>
      </c>
      <c r="BI62" s="86">
        <v>0</v>
      </c>
      <c r="BJ62" s="86">
        <v>0</v>
      </c>
      <c r="BK62" s="86">
        <v>0</v>
      </c>
      <c r="BL62" s="86">
        <v>0</v>
      </c>
      <c r="BM62" s="86">
        <v>0</v>
      </c>
      <c r="BN62" s="86">
        <v>0</v>
      </c>
      <c r="BO62" s="86">
        <v>0</v>
      </c>
      <c r="BP62" s="86">
        <v>0</v>
      </c>
      <c r="BQ62" s="86">
        <v>0</v>
      </c>
      <c r="BR62" s="86">
        <v>0</v>
      </c>
      <c r="BS62" s="180"/>
      <c r="BT62" s="180"/>
      <c r="BU62" s="180"/>
      <c r="BV62" s="180"/>
      <c r="BW62" s="180"/>
      <c r="BX62" s="180"/>
      <c r="BY62" s="180"/>
      <c r="BZ62" s="180"/>
      <c r="CA62" s="180"/>
      <c r="CB62" s="180"/>
      <c r="CC62" s="180"/>
      <c r="CD62" s="180"/>
      <c r="CE62" s="180"/>
      <c r="CF62" s="180"/>
      <c r="CG62" s="180"/>
      <c r="CH62" s="180"/>
      <c r="CI62" s="180"/>
      <c r="CJ62" s="180"/>
      <c r="CK62" s="180"/>
      <c r="CL62" s="180"/>
      <c r="CM62" s="180"/>
      <c r="CN62" s="180"/>
      <c r="CO62" s="180"/>
      <c r="CP62" s="180"/>
      <c r="CQ62" s="180"/>
      <c r="CR62" s="180"/>
      <c r="CS62" s="180"/>
      <c r="CT62" s="180"/>
      <c r="CU62" s="180"/>
      <c r="CV62" s="180"/>
      <c r="CW62" s="180"/>
      <c r="CX62" s="180"/>
      <c r="CY62" s="180"/>
      <c r="CZ62" s="180"/>
    </row>
    <row r="63" spans="1:104" x14ac:dyDescent="0.45">
      <c r="A63" s="180" t="s">
        <v>80</v>
      </c>
      <c r="B63" s="73">
        <v>6</v>
      </c>
      <c r="C63" s="73"/>
      <c r="D63" s="180" t="s">
        <v>314</v>
      </c>
      <c r="E63" s="39">
        <v>43593</v>
      </c>
      <c r="F63" s="179">
        <v>0.78263888888888899</v>
      </c>
      <c r="G63" s="180">
        <v>1</v>
      </c>
      <c r="H63" s="180"/>
      <c r="I63" s="180"/>
      <c r="J63" s="180"/>
      <c r="K63" s="180"/>
      <c r="L63" s="180"/>
      <c r="M63" s="180"/>
      <c r="N63" s="180"/>
      <c r="O63" s="180"/>
      <c r="P63" s="180"/>
      <c r="AS63" s="180"/>
      <c r="AT63" s="180"/>
      <c r="AU63" s="180"/>
      <c r="AV63" s="180"/>
      <c r="AW63" s="180"/>
      <c r="AX63" s="180"/>
      <c r="AY63" s="180"/>
      <c r="AZ63" s="180"/>
      <c r="BA63" s="180"/>
      <c r="BB63" s="180"/>
      <c r="BC63" s="180"/>
      <c r="BD63" s="180"/>
      <c r="BE63" s="180"/>
      <c r="BF63" s="180"/>
      <c r="BG63" s="180"/>
      <c r="BH63" s="90" t="s">
        <v>41</v>
      </c>
      <c r="BI63" s="86">
        <v>0</v>
      </c>
      <c r="BJ63" s="86">
        <v>0</v>
      </c>
      <c r="BK63" s="86">
        <v>1</v>
      </c>
      <c r="BL63" s="86">
        <v>2</v>
      </c>
      <c r="BM63" s="86">
        <v>4</v>
      </c>
      <c r="BN63" s="86">
        <v>1</v>
      </c>
      <c r="BO63" s="86">
        <v>4</v>
      </c>
      <c r="BP63" s="86">
        <v>1</v>
      </c>
      <c r="BQ63" s="86">
        <v>0</v>
      </c>
      <c r="BR63" s="86">
        <v>13</v>
      </c>
      <c r="BS63" s="180"/>
      <c r="BT63" s="180"/>
      <c r="BU63" s="180"/>
      <c r="BV63" s="180"/>
      <c r="BW63" s="180"/>
      <c r="BX63" s="180"/>
      <c r="BY63" s="180"/>
      <c r="BZ63" s="180"/>
      <c r="CA63" s="180"/>
      <c r="CB63" s="180"/>
      <c r="CC63" s="180"/>
      <c r="CD63" s="180"/>
      <c r="CE63" s="180"/>
      <c r="CF63" s="180"/>
      <c r="CG63" s="180"/>
      <c r="CH63" s="180"/>
      <c r="CI63" s="180"/>
      <c r="CJ63" s="180"/>
      <c r="CK63" s="180"/>
      <c r="CL63" s="180"/>
      <c r="CM63" s="180"/>
      <c r="CN63" s="180"/>
      <c r="CO63" s="180"/>
      <c r="CP63" s="180"/>
      <c r="CQ63" s="180"/>
      <c r="CR63" s="180"/>
      <c r="CS63" s="180"/>
      <c r="CT63" s="180"/>
      <c r="CU63" s="180"/>
      <c r="CV63" s="180"/>
      <c r="CW63" s="180"/>
      <c r="CX63" s="180"/>
      <c r="CY63" s="180"/>
      <c r="CZ63" s="180"/>
    </row>
    <row r="64" spans="1:104" x14ac:dyDescent="0.45">
      <c r="A64" s="180" t="s">
        <v>80</v>
      </c>
      <c r="B64" s="73">
        <v>11</v>
      </c>
      <c r="C64" s="73"/>
      <c r="D64" s="180" t="s">
        <v>315</v>
      </c>
      <c r="E64" s="39">
        <v>43593</v>
      </c>
      <c r="F64" s="179">
        <v>0.80208333333333337</v>
      </c>
      <c r="G64" s="180">
        <v>3</v>
      </c>
      <c r="H64" s="180" t="s">
        <v>316</v>
      </c>
      <c r="I64" s="180"/>
      <c r="J64" s="180"/>
      <c r="K64" s="180"/>
      <c r="L64" s="180"/>
      <c r="M64" s="180"/>
      <c r="N64" s="180"/>
      <c r="O64" s="180"/>
      <c r="P64" s="180"/>
      <c r="AS64" s="180"/>
      <c r="AT64" s="180"/>
      <c r="AU64" s="180"/>
      <c r="AV64" s="180"/>
      <c r="AW64" s="180"/>
      <c r="AX64" s="180"/>
      <c r="AY64" s="180"/>
      <c r="AZ64" s="180"/>
      <c r="BA64" s="180"/>
      <c r="BB64" s="180"/>
      <c r="BC64" s="180"/>
      <c r="BD64" s="180"/>
      <c r="BE64" s="180"/>
      <c r="BF64" s="180"/>
      <c r="BG64" s="180"/>
      <c r="BH64" s="90" t="s">
        <v>2</v>
      </c>
      <c r="BI64" s="86">
        <v>0</v>
      </c>
      <c r="BJ64" s="86">
        <v>15</v>
      </c>
      <c r="BK64" s="86">
        <v>14</v>
      </c>
      <c r="BL64" s="86">
        <v>8</v>
      </c>
      <c r="BM64" s="86">
        <v>7</v>
      </c>
      <c r="BN64" s="86">
        <v>17</v>
      </c>
      <c r="BO64" s="86">
        <v>16</v>
      </c>
      <c r="BP64" s="86">
        <v>3</v>
      </c>
      <c r="BQ64" s="86">
        <v>0</v>
      </c>
      <c r="BR64" s="86">
        <v>80</v>
      </c>
      <c r="BS64" s="180"/>
      <c r="BT64" s="180"/>
      <c r="BU64" s="180"/>
      <c r="BV64" s="180"/>
      <c r="BW64" s="180"/>
      <c r="BX64" s="180"/>
      <c r="BY64" s="180"/>
      <c r="BZ64" s="180"/>
      <c r="CA64" s="180"/>
      <c r="CB64" s="180"/>
      <c r="CC64" s="180"/>
      <c r="CD64" s="180"/>
      <c r="CE64" s="180"/>
      <c r="CF64" s="180"/>
      <c r="CG64" s="180"/>
      <c r="CH64" s="180"/>
      <c r="CI64" s="180"/>
      <c r="CJ64" s="180"/>
      <c r="CK64" s="180"/>
      <c r="CL64" s="180"/>
      <c r="CM64" s="180"/>
      <c r="CN64" s="180"/>
      <c r="CO64" s="180"/>
      <c r="CP64" s="180"/>
      <c r="CQ64" s="180"/>
      <c r="CR64" s="180"/>
      <c r="CS64" s="180"/>
      <c r="CT64" s="180"/>
      <c r="CU64" s="180"/>
      <c r="CV64" s="180"/>
      <c r="CW64" s="180"/>
      <c r="CX64" s="180"/>
      <c r="CY64" s="180"/>
      <c r="CZ64" s="180"/>
    </row>
    <row r="65" spans="1:104" x14ac:dyDescent="0.45">
      <c r="A65" s="180" t="s">
        <v>80</v>
      </c>
      <c r="B65" s="73">
        <v>2</v>
      </c>
      <c r="C65" s="73"/>
      <c r="D65" s="180" t="s">
        <v>317</v>
      </c>
      <c r="E65" s="39">
        <v>43593</v>
      </c>
      <c r="F65" s="179">
        <v>0.79722222222222217</v>
      </c>
      <c r="G65" s="180">
        <v>7</v>
      </c>
      <c r="H65" s="180"/>
      <c r="I65" s="180"/>
      <c r="J65" s="180"/>
      <c r="K65" s="180"/>
      <c r="L65" s="180"/>
      <c r="M65" s="180"/>
      <c r="N65" s="180"/>
      <c r="O65" s="180"/>
      <c r="P65" s="180"/>
      <c r="AS65" s="180"/>
      <c r="AT65" s="180"/>
      <c r="AU65" s="180"/>
      <c r="AV65" s="180"/>
      <c r="AW65" s="180"/>
      <c r="AX65" s="180"/>
      <c r="AY65" s="180"/>
      <c r="AZ65" s="180"/>
      <c r="BA65" s="180"/>
      <c r="BB65" s="180"/>
      <c r="BC65" s="180"/>
      <c r="BD65" s="180"/>
      <c r="BE65" s="180"/>
      <c r="BF65" s="180"/>
      <c r="BG65" s="180"/>
      <c r="BH65" s="90" t="s">
        <v>43</v>
      </c>
      <c r="BI65" s="86">
        <v>0</v>
      </c>
      <c r="BJ65" s="86">
        <v>0</v>
      </c>
      <c r="BK65" s="86">
        <v>0</v>
      </c>
      <c r="BL65" s="86">
        <v>0</v>
      </c>
      <c r="BM65" s="86">
        <v>0</v>
      </c>
      <c r="BN65" s="86">
        <v>0</v>
      </c>
      <c r="BO65" s="86">
        <v>0</v>
      </c>
      <c r="BP65" s="86">
        <v>0</v>
      </c>
      <c r="BQ65" s="86">
        <v>0</v>
      </c>
      <c r="BR65" s="86">
        <v>0</v>
      </c>
      <c r="BS65" s="180"/>
      <c r="BT65" s="180"/>
      <c r="BU65" s="180"/>
      <c r="BV65" s="180"/>
      <c r="BW65" s="180"/>
      <c r="BX65" s="180"/>
      <c r="BY65" s="180"/>
      <c r="BZ65" s="180"/>
      <c r="CA65" s="180"/>
      <c r="CB65" s="180"/>
      <c r="CC65" s="180"/>
      <c r="CD65" s="180"/>
      <c r="CE65" s="180"/>
      <c r="CF65" s="180"/>
      <c r="CG65" s="180"/>
      <c r="CH65" s="180"/>
      <c r="CI65" s="180"/>
      <c r="CJ65" s="180"/>
      <c r="CK65" s="180"/>
      <c r="CL65" s="180"/>
      <c r="CM65" s="180"/>
      <c r="CN65" s="180"/>
      <c r="CO65" s="180"/>
      <c r="CP65" s="180"/>
      <c r="CQ65" s="180"/>
      <c r="CR65" s="180"/>
      <c r="CS65" s="180"/>
      <c r="CT65" s="180"/>
      <c r="CU65" s="180"/>
      <c r="CV65" s="180"/>
      <c r="CW65" s="180"/>
      <c r="CX65" s="180"/>
      <c r="CY65" s="180"/>
      <c r="CZ65" s="180"/>
    </row>
    <row r="66" spans="1:104" x14ac:dyDescent="0.45">
      <c r="A66" s="180" t="s">
        <v>80</v>
      </c>
      <c r="B66" s="73">
        <v>4</v>
      </c>
      <c r="C66" s="73">
        <v>4</v>
      </c>
      <c r="D66" s="180" t="s">
        <v>311</v>
      </c>
      <c r="E66" s="39">
        <v>43593</v>
      </c>
      <c r="F66" s="179">
        <v>0.80208333333333337</v>
      </c>
      <c r="G66" s="180">
        <v>7</v>
      </c>
      <c r="H66" s="180" t="s">
        <v>280</v>
      </c>
      <c r="I66" s="180"/>
      <c r="J66" s="180"/>
      <c r="K66" s="180"/>
      <c r="L66" s="180"/>
      <c r="M66" s="180"/>
      <c r="N66" s="180"/>
      <c r="O66" s="180"/>
      <c r="P66" s="180"/>
      <c r="AS66" s="180"/>
      <c r="AT66" s="180"/>
      <c r="AU66" s="180"/>
      <c r="AV66" s="180"/>
      <c r="AW66" s="180"/>
      <c r="AX66" s="180"/>
      <c r="AY66" s="180"/>
      <c r="AZ66" s="180"/>
      <c r="BA66" s="180"/>
      <c r="BB66" s="180"/>
      <c r="BC66" s="180"/>
      <c r="BD66" s="180"/>
      <c r="BE66" s="180"/>
      <c r="BF66" s="180"/>
      <c r="BG66" s="180"/>
      <c r="BH66" s="90" t="s">
        <v>3</v>
      </c>
      <c r="BI66" s="86">
        <v>7</v>
      </c>
      <c r="BJ66" s="86">
        <v>24</v>
      </c>
      <c r="BK66" s="86">
        <v>5</v>
      </c>
      <c r="BL66" s="86">
        <v>5</v>
      </c>
      <c r="BM66" s="86">
        <v>5</v>
      </c>
      <c r="BN66" s="86">
        <v>3</v>
      </c>
      <c r="BO66" s="86">
        <v>5</v>
      </c>
      <c r="BP66" s="86">
        <v>4</v>
      </c>
      <c r="BQ66" s="86">
        <v>0</v>
      </c>
      <c r="BR66" s="86">
        <v>58</v>
      </c>
      <c r="BS66" s="180"/>
      <c r="BT66" s="180"/>
      <c r="BU66" s="180"/>
      <c r="BV66" s="180"/>
      <c r="BW66" s="180"/>
      <c r="BX66" s="180"/>
      <c r="BY66" s="180"/>
      <c r="BZ66" s="180"/>
      <c r="CA66" s="180"/>
      <c r="CB66" s="180"/>
      <c r="CC66" s="180"/>
      <c r="CD66" s="180"/>
      <c r="CE66" s="180"/>
      <c r="CF66" s="180"/>
      <c r="CG66" s="180"/>
      <c r="CH66" s="180"/>
      <c r="CI66" s="180"/>
      <c r="CJ66" s="180"/>
      <c r="CK66" s="180"/>
      <c r="CL66" s="180"/>
      <c r="CM66" s="180"/>
      <c r="CN66" s="180"/>
      <c r="CO66" s="180"/>
      <c r="CP66" s="180"/>
      <c r="CQ66" s="180"/>
      <c r="CR66" s="180"/>
      <c r="CS66" s="180"/>
      <c r="CT66" s="180"/>
      <c r="CU66" s="180"/>
      <c r="CV66" s="180"/>
      <c r="CW66" s="180"/>
      <c r="CX66" s="180"/>
      <c r="CY66" s="180"/>
      <c r="CZ66" s="180"/>
    </row>
    <row r="67" spans="1:104" x14ac:dyDescent="0.45">
      <c r="A67" s="180" t="s">
        <v>80</v>
      </c>
      <c r="B67" s="73">
        <v>11</v>
      </c>
      <c r="C67" s="73">
        <v>11</v>
      </c>
      <c r="D67" s="180" t="s">
        <v>318</v>
      </c>
      <c r="E67" s="39">
        <v>43593</v>
      </c>
      <c r="F67" s="179">
        <v>0.80208333333333337</v>
      </c>
      <c r="G67" s="180">
        <v>3</v>
      </c>
      <c r="H67" s="180" t="s">
        <v>280</v>
      </c>
      <c r="I67" s="180"/>
      <c r="J67" s="180"/>
      <c r="K67" s="180"/>
      <c r="L67" s="180"/>
      <c r="M67" s="180"/>
      <c r="N67" s="180"/>
      <c r="O67" s="180"/>
      <c r="P67" s="180"/>
      <c r="AS67" s="180"/>
      <c r="AT67" s="180"/>
      <c r="AU67" s="180"/>
      <c r="AV67" s="180"/>
      <c r="AW67" s="180"/>
      <c r="AX67" s="180"/>
      <c r="AY67" s="180"/>
      <c r="AZ67" s="180"/>
      <c r="BA67" s="180"/>
      <c r="BB67" s="180"/>
      <c r="BC67" s="180"/>
      <c r="BD67" s="180"/>
      <c r="BE67" s="180"/>
      <c r="BF67" s="180"/>
      <c r="BG67" s="180"/>
      <c r="BH67" s="90" t="s">
        <v>4</v>
      </c>
      <c r="BI67" s="86">
        <v>2</v>
      </c>
      <c r="BJ67" s="86">
        <v>3</v>
      </c>
      <c r="BK67" s="86">
        <v>0</v>
      </c>
      <c r="BL67" s="86">
        <v>0</v>
      </c>
      <c r="BM67" s="86">
        <v>0</v>
      </c>
      <c r="BN67" s="86">
        <v>0</v>
      </c>
      <c r="BO67" s="86">
        <v>0</v>
      </c>
      <c r="BP67" s="86">
        <v>0</v>
      </c>
      <c r="BQ67" s="86">
        <v>0</v>
      </c>
      <c r="BR67" s="86">
        <v>5</v>
      </c>
      <c r="BS67" s="180"/>
      <c r="BT67" s="180"/>
      <c r="BU67" s="180"/>
      <c r="BV67" s="180"/>
      <c r="BW67" s="180"/>
      <c r="BX67" s="180"/>
      <c r="BY67" s="180"/>
      <c r="BZ67" s="180"/>
      <c r="CA67" s="180"/>
      <c r="CB67" s="180"/>
      <c r="CC67" s="180"/>
      <c r="CD67" s="180"/>
      <c r="CE67" s="180"/>
      <c r="CF67" s="180"/>
      <c r="CG67" s="180"/>
      <c r="CH67" s="180"/>
      <c r="CI67" s="180"/>
      <c r="CJ67" s="180"/>
      <c r="CK67" s="180"/>
      <c r="CL67" s="180"/>
      <c r="CM67" s="180"/>
      <c r="CN67" s="180"/>
      <c r="CO67" s="180"/>
      <c r="CP67" s="180"/>
      <c r="CQ67" s="180"/>
      <c r="CR67" s="180"/>
      <c r="CS67" s="180"/>
      <c r="CT67" s="180"/>
      <c r="CU67" s="180"/>
      <c r="CV67" s="180"/>
      <c r="CW67" s="180"/>
      <c r="CX67" s="180"/>
      <c r="CY67" s="180"/>
      <c r="CZ67" s="180"/>
    </row>
    <row r="68" spans="1:104" x14ac:dyDescent="0.45">
      <c r="A68" s="180" t="s">
        <v>80</v>
      </c>
      <c r="B68" s="73">
        <v>1</v>
      </c>
      <c r="C68" s="73"/>
      <c r="D68" s="180" t="s">
        <v>284</v>
      </c>
      <c r="E68" s="39">
        <v>43593</v>
      </c>
      <c r="F68" s="179">
        <v>0.48680555555555555</v>
      </c>
      <c r="G68" s="180">
        <v>1</v>
      </c>
      <c r="H68" s="180"/>
      <c r="I68" s="180"/>
      <c r="J68" s="180"/>
      <c r="K68" s="180"/>
      <c r="L68" s="180"/>
      <c r="M68" s="180"/>
      <c r="N68" s="180"/>
      <c r="O68" s="180"/>
      <c r="P68" s="180"/>
      <c r="AS68" s="180"/>
      <c r="AT68" s="180"/>
      <c r="AU68" s="180"/>
      <c r="AV68" s="180"/>
      <c r="AW68" s="180"/>
      <c r="AX68" s="180"/>
      <c r="AY68" s="180"/>
      <c r="AZ68" s="180"/>
      <c r="BA68" s="180"/>
      <c r="BB68" s="180"/>
      <c r="BC68" s="180"/>
      <c r="BD68" s="180"/>
      <c r="BE68" s="180"/>
      <c r="BF68" s="180"/>
      <c r="BG68" s="180"/>
      <c r="BH68" s="90" t="s">
        <v>48</v>
      </c>
      <c r="BI68" s="86">
        <v>2</v>
      </c>
      <c r="BJ68" s="86">
        <v>13</v>
      </c>
      <c r="BK68" s="86">
        <v>0</v>
      </c>
      <c r="BL68" s="86">
        <v>0</v>
      </c>
      <c r="BM68" s="86">
        <v>0</v>
      </c>
      <c r="BN68" s="86">
        <v>0</v>
      </c>
      <c r="BO68" s="86">
        <v>0</v>
      </c>
      <c r="BP68" s="86">
        <v>0</v>
      </c>
      <c r="BQ68" s="86">
        <v>0</v>
      </c>
      <c r="BR68" s="86">
        <v>15</v>
      </c>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row>
    <row r="69" spans="1:104" x14ac:dyDescent="0.45">
      <c r="A69" s="180" t="s">
        <v>80</v>
      </c>
      <c r="B69" s="73">
        <v>2</v>
      </c>
      <c r="C69" s="73">
        <v>2</v>
      </c>
      <c r="D69" s="180" t="s">
        <v>319</v>
      </c>
      <c r="E69" s="39">
        <v>43594</v>
      </c>
      <c r="F69" s="179">
        <v>0.32291666666666669</v>
      </c>
      <c r="G69" s="180">
        <v>3</v>
      </c>
      <c r="H69" s="180"/>
      <c r="I69" s="180"/>
      <c r="J69" s="180"/>
      <c r="K69" s="180"/>
      <c r="L69" s="180"/>
      <c r="M69" s="180"/>
      <c r="N69" s="180"/>
      <c r="O69" s="180"/>
      <c r="P69" s="180"/>
      <c r="AS69" s="180"/>
      <c r="AT69" s="180"/>
      <c r="AU69" s="180"/>
      <c r="AV69" s="180"/>
      <c r="AW69" s="180"/>
      <c r="AX69" s="180"/>
      <c r="AY69" s="180"/>
      <c r="AZ69" s="180"/>
      <c r="BA69" s="180"/>
      <c r="BB69" s="180"/>
      <c r="BC69" s="180"/>
      <c r="BD69" s="180"/>
      <c r="BE69" s="180"/>
      <c r="BF69" s="180"/>
      <c r="BG69" s="180"/>
      <c r="BH69" s="90" t="s">
        <v>6</v>
      </c>
      <c r="BI69" s="86">
        <v>0</v>
      </c>
      <c r="BJ69" s="86">
        <v>0</v>
      </c>
      <c r="BK69" s="86">
        <v>0</v>
      </c>
      <c r="BL69" s="86">
        <v>0</v>
      </c>
      <c r="BM69" s="86">
        <v>0</v>
      </c>
      <c r="BN69" s="86">
        <v>0</v>
      </c>
      <c r="BO69" s="86">
        <v>0</v>
      </c>
      <c r="BP69" s="86">
        <v>0</v>
      </c>
      <c r="BQ69" s="86">
        <v>0</v>
      </c>
      <c r="BR69" s="86">
        <v>0</v>
      </c>
      <c r="BS69" s="180"/>
      <c r="BT69" s="180"/>
      <c r="BU69" s="180"/>
      <c r="BV69" s="180"/>
      <c r="BW69" s="180"/>
      <c r="BX69" s="180"/>
      <c r="BY69" s="180"/>
      <c r="BZ69" s="180"/>
      <c r="CA69" s="180"/>
      <c r="CB69" s="180"/>
      <c r="CC69" s="180"/>
      <c r="CD69" s="180"/>
      <c r="CE69" s="180"/>
      <c r="CF69" s="180"/>
      <c r="CG69" s="180"/>
      <c r="CH69" s="180"/>
      <c r="CI69" s="180"/>
      <c r="CJ69" s="180"/>
      <c r="CK69" s="180"/>
      <c r="CL69" s="180"/>
      <c r="CM69" s="180"/>
      <c r="CN69" s="180"/>
      <c r="CO69" s="180"/>
      <c r="CP69" s="180"/>
      <c r="CQ69" s="180"/>
      <c r="CR69" s="180"/>
      <c r="CS69" s="180"/>
      <c r="CT69" s="180"/>
      <c r="CU69" s="180"/>
      <c r="CV69" s="180"/>
      <c r="CW69" s="180"/>
      <c r="CX69" s="180"/>
      <c r="CY69" s="180"/>
      <c r="CZ69" s="180"/>
    </row>
    <row r="70" spans="1:104" x14ac:dyDescent="0.45">
      <c r="A70" s="180" t="s">
        <v>80</v>
      </c>
      <c r="B70" s="73">
        <v>2</v>
      </c>
      <c r="C70" s="73"/>
      <c r="D70" s="180" t="s">
        <v>319</v>
      </c>
      <c r="E70" s="39">
        <v>43594</v>
      </c>
      <c r="F70" s="179">
        <v>0.33333333333333331</v>
      </c>
      <c r="G70" s="180">
        <v>5</v>
      </c>
      <c r="H70" s="180" t="s">
        <v>320</v>
      </c>
      <c r="I70" s="180"/>
      <c r="J70" s="180"/>
      <c r="K70" s="180"/>
      <c r="L70" s="180"/>
      <c r="M70" s="180"/>
      <c r="N70" s="180"/>
      <c r="O70" s="180"/>
      <c r="P70" s="180"/>
      <c r="AS70" s="180"/>
      <c r="AT70" s="180"/>
      <c r="AU70" s="180"/>
      <c r="AV70" s="180"/>
      <c r="AW70" s="180"/>
      <c r="AX70" s="180"/>
      <c r="AY70" s="180"/>
      <c r="AZ70" s="180"/>
      <c r="BA70" s="180"/>
      <c r="BB70" s="180"/>
      <c r="BC70" s="180"/>
      <c r="BD70" s="180"/>
      <c r="BE70" s="180"/>
      <c r="BF70" s="180"/>
      <c r="BG70" s="180"/>
      <c r="BH70" s="90" t="s">
        <v>7</v>
      </c>
      <c r="BI70" s="86">
        <v>0</v>
      </c>
      <c r="BJ70" s="86">
        <v>0</v>
      </c>
      <c r="BK70" s="86">
        <v>0</v>
      </c>
      <c r="BL70" s="86">
        <v>0</v>
      </c>
      <c r="BM70" s="86">
        <v>41</v>
      </c>
      <c r="BN70" s="86">
        <v>0</v>
      </c>
      <c r="BO70" s="86">
        <v>10</v>
      </c>
      <c r="BP70" s="86">
        <v>0</v>
      </c>
      <c r="BQ70" s="86">
        <v>0</v>
      </c>
      <c r="BR70" s="86">
        <v>51</v>
      </c>
      <c r="BS70" s="180"/>
      <c r="BT70" s="180"/>
      <c r="BU70" s="180"/>
      <c r="BV70" s="180"/>
      <c r="BW70" s="180"/>
      <c r="BX70" s="180"/>
      <c r="BY70" s="180"/>
      <c r="BZ70" s="180"/>
      <c r="CA70" s="180"/>
      <c r="CB70" s="180"/>
      <c r="CC70" s="180"/>
      <c r="CD70" s="180"/>
      <c r="CE70" s="180"/>
      <c r="CF70" s="180"/>
      <c r="CG70" s="180"/>
      <c r="CH70" s="180"/>
      <c r="CI70" s="180"/>
      <c r="CJ70" s="180"/>
      <c r="CK70" s="180"/>
      <c r="CL70" s="180"/>
      <c r="CM70" s="180"/>
      <c r="CN70" s="180"/>
      <c r="CO70" s="180"/>
      <c r="CP70" s="180"/>
      <c r="CQ70" s="180"/>
      <c r="CR70" s="180"/>
      <c r="CS70" s="180"/>
      <c r="CT70" s="180"/>
      <c r="CU70" s="180"/>
      <c r="CV70" s="180"/>
      <c r="CW70" s="180"/>
      <c r="CX70" s="180"/>
      <c r="CY70" s="180"/>
      <c r="CZ70" s="180"/>
    </row>
    <row r="71" spans="1:104" x14ac:dyDescent="0.45">
      <c r="A71" s="180" t="s">
        <v>80</v>
      </c>
      <c r="B71" s="73">
        <v>2</v>
      </c>
      <c r="C71" s="73">
        <v>2</v>
      </c>
      <c r="D71" s="180" t="s">
        <v>288</v>
      </c>
      <c r="E71" s="39">
        <v>43594</v>
      </c>
      <c r="F71" s="179">
        <v>0.65833333333333333</v>
      </c>
      <c r="G71" s="180">
        <v>8</v>
      </c>
      <c r="H71" s="180"/>
      <c r="I71" s="180"/>
      <c r="J71" s="180"/>
      <c r="K71" s="180"/>
      <c r="L71" s="180"/>
      <c r="M71" s="180"/>
      <c r="N71" s="180"/>
      <c r="O71" s="180"/>
      <c r="P71" s="180"/>
      <c r="AS71" s="180"/>
      <c r="AT71" s="180"/>
      <c r="AU71" s="180"/>
      <c r="AV71" s="180"/>
      <c r="AW71" s="180"/>
      <c r="AX71" s="180"/>
      <c r="AY71" s="180"/>
      <c r="AZ71" s="180"/>
      <c r="BA71" s="180"/>
      <c r="BB71" s="180"/>
      <c r="BC71" s="180"/>
      <c r="BD71" s="180"/>
      <c r="BE71" s="180"/>
      <c r="BF71" s="180"/>
      <c r="BG71" s="180"/>
      <c r="BH71" s="90" t="s">
        <v>83</v>
      </c>
      <c r="BI71" s="86">
        <v>0</v>
      </c>
      <c r="BJ71" s="86">
        <v>0</v>
      </c>
      <c r="BK71" s="86">
        <v>0</v>
      </c>
      <c r="BL71" s="86">
        <v>0</v>
      </c>
      <c r="BM71" s="86">
        <v>0</v>
      </c>
      <c r="BN71" s="86">
        <v>0</v>
      </c>
      <c r="BO71" s="86">
        <v>0</v>
      </c>
      <c r="BP71" s="86">
        <v>0</v>
      </c>
      <c r="BQ71" s="86">
        <v>0</v>
      </c>
      <c r="BR71" s="86">
        <v>0</v>
      </c>
      <c r="BS71" s="180"/>
      <c r="BT71" s="180"/>
      <c r="BU71" s="180"/>
      <c r="BV71" s="180"/>
      <c r="BW71" s="180"/>
      <c r="BX71" s="180"/>
      <c r="BY71" s="180"/>
      <c r="BZ71" s="180"/>
      <c r="CA71" s="180"/>
      <c r="CB71" s="180"/>
      <c r="CC71" s="180"/>
      <c r="CD71" s="180"/>
      <c r="CE71" s="180"/>
      <c r="CF71" s="180"/>
      <c r="CG71" s="180"/>
      <c r="CH71" s="180"/>
      <c r="CI71" s="180"/>
      <c r="CJ71" s="180"/>
      <c r="CK71" s="180"/>
      <c r="CL71" s="180"/>
      <c r="CM71" s="180"/>
      <c r="CN71" s="180"/>
      <c r="CO71" s="180"/>
      <c r="CP71" s="180"/>
      <c r="CQ71" s="180"/>
      <c r="CR71" s="180"/>
      <c r="CS71" s="180"/>
      <c r="CT71" s="180"/>
      <c r="CU71" s="180"/>
      <c r="CV71" s="180"/>
      <c r="CW71" s="180"/>
      <c r="CX71" s="180"/>
      <c r="CY71" s="180"/>
      <c r="CZ71" s="180"/>
    </row>
    <row r="72" spans="1:104" x14ac:dyDescent="0.45">
      <c r="A72" s="180" t="s">
        <v>80</v>
      </c>
      <c r="B72" s="73">
        <v>1</v>
      </c>
      <c r="C72" s="73">
        <v>1</v>
      </c>
      <c r="D72" s="180" t="s">
        <v>281</v>
      </c>
      <c r="E72" s="39">
        <v>43594</v>
      </c>
      <c r="F72" s="179">
        <v>0.3125</v>
      </c>
      <c r="G72" s="180">
        <v>14</v>
      </c>
      <c r="H72" s="180" t="s">
        <v>289</v>
      </c>
      <c r="I72" s="180"/>
      <c r="J72" s="180"/>
      <c r="K72" s="180"/>
      <c r="L72" s="180"/>
      <c r="M72" s="180"/>
      <c r="N72" s="180"/>
      <c r="O72" s="180"/>
      <c r="P72" s="180"/>
      <c r="AS72" s="180"/>
      <c r="AT72" s="180"/>
      <c r="AU72" s="180"/>
      <c r="AV72" s="180"/>
      <c r="AW72" s="180"/>
      <c r="AX72" s="180"/>
      <c r="AY72" s="180"/>
      <c r="AZ72" s="180"/>
      <c r="BA72" s="180"/>
      <c r="BB72" s="180"/>
      <c r="BC72" s="180"/>
      <c r="BD72" s="180"/>
      <c r="BE72" s="180"/>
      <c r="BF72" s="180"/>
      <c r="BG72" s="180"/>
      <c r="BH72" s="90" t="s">
        <v>50</v>
      </c>
      <c r="BI72" s="86">
        <v>0</v>
      </c>
      <c r="BJ72" s="86">
        <v>0</v>
      </c>
      <c r="BK72" s="86">
        <v>0</v>
      </c>
      <c r="BL72" s="86">
        <v>0</v>
      </c>
      <c r="BM72" s="86">
        <v>1</v>
      </c>
      <c r="BN72" s="86">
        <v>0</v>
      </c>
      <c r="BO72" s="86">
        <v>0</v>
      </c>
      <c r="BP72" s="86">
        <v>0</v>
      </c>
      <c r="BQ72" s="86">
        <v>0</v>
      </c>
      <c r="BR72" s="86">
        <v>1</v>
      </c>
      <c r="BS72" s="180"/>
      <c r="BT72" s="180"/>
      <c r="BU72" s="180"/>
      <c r="BV72" s="180"/>
      <c r="BW72" s="180"/>
      <c r="BX72" s="180"/>
      <c r="BY72" s="180"/>
      <c r="BZ72" s="180"/>
      <c r="CA72" s="180"/>
      <c r="CB72" s="180"/>
      <c r="CC72" s="180"/>
      <c r="CD72" s="180"/>
      <c r="CE72" s="180"/>
      <c r="CF72" s="180"/>
      <c r="CG72" s="180"/>
      <c r="CH72" s="180"/>
      <c r="CI72" s="180"/>
      <c r="CJ72" s="180"/>
      <c r="CK72" s="180"/>
      <c r="CL72" s="180"/>
      <c r="CM72" s="180"/>
      <c r="CN72" s="180"/>
      <c r="CO72" s="180"/>
      <c r="CP72" s="180"/>
      <c r="CQ72" s="180"/>
      <c r="CR72" s="180"/>
      <c r="CS72" s="180"/>
      <c r="CT72" s="180"/>
      <c r="CU72" s="180"/>
      <c r="CV72" s="180"/>
      <c r="CW72" s="180"/>
      <c r="CX72" s="180"/>
      <c r="CY72" s="180"/>
      <c r="CZ72" s="180"/>
    </row>
    <row r="73" spans="1:104" x14ac:dyDescent="0.45">
      <c r="A73" s="180" t="s">
        <v>80</v>
      </c>
      <c r="B73" s="73">
        <v>4</v>
      </c>
      <c r="C73" s="73">
        <v>4</v>
      </c>
      <c r="D73" s="180" t="s">
        <v>290</v>
      </c>
      <c r="E73" s="39">
        <v>43594</v>
      </c>
      <c r="F73" s="179">
        <v>0.3972222222222222</v>
      </c>
      <c r="G73" s="180">
        <v>1</v>
      </c>
      <c r="H73" s="180"/>
      <c r="I73" s="180"/>
      <c r="J73" s="180"/>
      <c r="K73" s="180"/>
      <c r="L73" s="180"/>
      <c r="M73" s="180"/>
      <c r="N73" s="180"/>
      <c r="O73" s="180"/>
      <c r="P73" s="180"/>
      <c r="AS73" s="180"/>
      <c r="AT73" s="180"/>
      <c r="AU73" s="180"/>
      <c r="AV73" s="180"/>
      <c r="AW73" s="180"/>
      <c r="AX73" s="180"/>
      <c r="AY73" s="180"/>
      <c r="AZ73" s="180"/>
      <c r="BA73" s="180"/>
      <c r="BB73" s="180"/>
      <c r="BC73" s="180"/>
      <c r="BD73" s="180"/>
      <c r="BE73" s="180"/>
      <c r="BF73" s="180"/>
      <c r="BG73" s="180"/>
      <c r="BH73" s="90" t="s">
        <v>51</v>
      </c>
      <c r="BI73" s="86">
        <v>0</v>
      </c>
      <c r="BJ73" s="86">
        <v>0</v>
      </c>
      <c r="BK73" s="86">
        <v>0</v>
      </c>
      <c r="BL73" s="86">
        <v>0</v>
      </c>
      <c r="BM73" s="86">
        <v>0</v>
      </c>
      <c r="BN73" s="86">
        <v>0</v>
      </c>
      <c r="BO73" s="86">
        <v>1</v>
      </c>
      <c r="BP73" s="86">
        <v>0</v>
      </c>
      <c r="BQ73" s="86">
        <v>0</v>
      </c>
      <c r="BR73" s="86">
        <v>1</v>
      </c>
      <c r="BS73" s="180"/>
      <c r="BT73" s="180"/>
      <c r="BU73" s="180"/>
      <c r="BV73" s="180"/>
      <c r="BW73" s="180"/>
      <c r="BX73" s="180"/>
      <c r="BY73" s="180"/>
      <c r="BZ73" s="180"/>
      <c r="CA73" s="180"/>
      <c r="CB73" s="180"/>
      <c r="CC73" s="180"/>
      <c r="CD73" s="180"/>
      <c r="CE73" s="180"/>
      <c r="CF73" s="180"/>
      <c r="CG73" s="180"/>
      <c r="CH73" s="180"/>
      <c r="CI73" s="180"/>
      <c r="CJ73" s="180"/>
      <c r="CK73" s="180"/>
      <c r="CL73" s="180"/>
      <c r="CM73" s="180"/>
      <c r="CN73" s="180"/>
      <c r="CO73" s="180"/>
      <c r="CP73" s="180"/>
      <c r="CQ73" s="180"/>
      <c r="CR73" s="180"/>
      <c r="CS73" s="180"/>
      <c r="CT73" s="180"/>
      <c r="CU73" s="180"/>
      <c r="CV73" s="180"/>
      <c r="CW73" s="180"/>
      <c r="CX73" s="180"/>
      <c r="CY73" s="180"/>
      <c r="CZ73" s="180"/>
    </row>
    <row r="74" spans="1:104" x14ac:dyDescent="0.45">
      <c r="A74" s="180" t="s">
        <v>80</v>
      </c>
      <c r="B74" s="73">
        <v>5</v>
      </c>
      <c r="C74" s="73">
        <v>5</v>
      </c>
      <c r="D74" s="180" t="s">
        <v>128</v>
      </c>
      <c r="E74" s="39">
        <v>43595</v>
      </c>
      <c r="F74" s="179">
        <v>0.72986111111111107</v>
      </c>
      <c r="G74" s="180">
        <v>1</v>
      </c>
      <c r="H74" s="180"/>
      <c r="I74" s="180"/>
      <c r="J74" s="180"/>
      <c r="K74" s="180"/>
      <c r="L74" s="180"/>
      <c r="M74" s="180"/>
      <c r="N74" s="180"/>
      <c r="O74" s="180"/>
      <c r="P74" s="180"/>
      <c r="AS74" s="180"/>
      <c r="AT74" s="180"/>
      <c r="AU74" s="180"/>
      <c r="AV74" s="180"/>
      <c r="AW74" s="180"/>
      <c r="AX74" s="180"/>
      <c r="AY74" s="180"/>
      <c r="AZ74" s="180"/>
      <c r="BA74" s="180"/>
      <c r="BB74" s="180"/>
      <c r="BC74" s="180"/>
      <c r="BD74" s="180"/>
      <c r="BE74" s="180"/>
      <c r="BF74" s="180"/>
      <c r="BG74" s="180"/>
      <c r="BH74" s="90" t="s">
        <v>42</v>
      </c>
      <c r="BI74" s="86">
        <v>0</v>
      </c>
      <c r="BJ74" s="86">
        <v>0</v>
      </c>
      <c r="BK74" s="86">
        <v>0</v>
      </c>
      <c r="BL74" s="86">
        <v>1</v>
      </c>
      <c r="BM74" s="86">
        <v>3</v>
      </c>
      <c r="BN74" s="86">
        <v>0</v>
      </c>
      <c r="BO74" s="86">
        <v>6</v>
      </c>
      <c r="BP74" s="86">
        <v>0</v>
      </c>
      <c r="BQ74" s="86">
        <v>1</v>
      </c>
      <c r="BR74" s="86">
        <v>11</v>
      </c>
      <c r="BS74" s="180"/>
      <c r="BT74" s="180"/>
      <c r="BU74" s="180"/>
      <c r="BV74" s="180"/>
      <c r="BW74" s="180"/>
      <c r="BX74" s="180"/>
      <c r="BY74" s="180"/>
      <c r="BZ74" s="180"/>
      <c r="CA74" s="180"/>
      <c r="CB74" s="180"/>
      <c r="CC74" s="180"/>
      <c r="CD74" s="180"/>
      <c r="CE74" s="180"/>
      <c r="CF74" s="180"/>
      <c r="CG74" s="180"/>
      <c r="CH74" s="180"/>
      <c r="CI74" s="180"/>
      <c r="CJ74" s="180"/>
      <c r="CK74" s="180"/>
      <c r="CL74" s="180"/>
      <c r="CM74" s="180"/>
      <c r="CN74" s="180"/>
      <c r="CO74" s="180"/>
      <c r="CP74" s="180"/>
      <c r="CQ74" s="180"/>
      <c r="CR74" s="180"/>
      <c r="CS74" s="180"/>
      <c r="CT74" s="180"/>
      <c r="CU74" s="180"/>
      <c r="CV74" s="180"/>
      <c r="CW74" s="180"/>
      <c r="CX74" s="180"/>
      <c r="CY74" s="180"/>
      <c r="CZ74" s="180"/>
    </row>
    <row r="75" spans="1:104" x14ac:dyDescent="0.45">
      <c r="A75" s="180" t="s">
        <v>80</v>
      </c>
      <c r="B75" s="73">
        <v>5</v>
      </c>
      <c r="C75" s="73"/>
      <c r="D75" s="180" t="s">
        <v>321</v>
      </c>
      <c r="E75" s="39">
        <v>43596</v>
      </c>
      <c r="F75" s="179">
        <v>0.36388888888888887</v>
      </c>
      <c r="G75" s="180">
        <v>1</v>
      </c>
      <c r="H75" s="180"/>
      <c r="I75" s="180"/>
      <c r="J75" s="180"/>
      <c r="K75" s="180"/>
      <c r="L75" s="180"/>
      <c r="M75" s="180"/>
      <c r="N75" s="180"/>
      <c r="O75" s="180"/>
      <c r="P75" s="180"/>
      <c r="AS75" s="180"/>
      <c r="AT75" s="180"/>
      <c r="AU75" s="180"/>
      <c r="AV75" s="180"/>
      <c r="AW75" s="180"/>
      <c r="AX75" s="180"/>
      <c r="AY75" s="180"/>
      <c r="AZ75" s="180"/>
      <c r="BA75" s="180"/>
      <c r="BB75" s="180"/>
      <c r="BC75" s="180"/>
      <c r="BD75" s="180"/>
      <c r="BE75" s="180"/>
      <c r="BF75" s="180"/>
      <c r="BG75" s="180"/>
      <c r="BH75" s="90" t="s">
        <v>8</v>
      </c>
      <c r="BI75" s="86">
        <v>0</v>
      </c>
      <c r="BJ75" s="86">
        <v>0</v>
      </c>
      <c r="BK75" s="86">
        <v>0</v>
      </c>
      <c r="BL75" s="86">
        <v>0</v>
      </c>
      <c r="BM75" s="86">
        <v>4</v>
      </c>
      <c r="BN75" s="86">
        <v>22</v>
      </c>
      <c r="BO75" s="86">
        <v>14</v>
      </c>
      <c r="BP75" s="86">
        <v>18</v>
      </c>
      <c r="BQ75" s="86">
        <v>0</v>
      </c>
      <c r="BR75" s="86">
        <v>58</v>
      </c>
      <c r="BS75" s="180"/>
      <c r="BT75" s="180"/>
      <c r="BU75" s="180"/>
      <c r="BV75" s="180"/>
      <c r="BW75" s="180"/>
      <c r="BX75" s="180"/>
      <c r="BY75" s="180"/>
      <c r="BZ75" s="180"/>
      <c r="CA75" s="180"/>
      <c r="CB75" s="180"/>
      <c r="CC75" s="180"/>
      <c r="CD75" s="180"/>
      <c r="CE75" s="180"/>
      <c r="CF75" s="180"/>
      <c r="CG75" s="180"/>
      <c r="CH75" s="180"/>
      <c r="CI75" s="180"/>
      <c r="CJ75" s="180"/>
      <c r="CK75" s="180"/>
      <c r="CL75" s="180"/>
      <c r="CM75" s="180"/>
      <c r="CN75" s="180"/>
      <c r="CO75" s="180"/>
      <c r="CP75" s="180"/>
      <c r="CQ75" s="180"/>
      <c r="CR75" s="180"/>
      <c r="CS75" s="180"/>
      <c r="CT75" s="180"/>
      <c r="CU75" s="180"/>
      <c r="CV75" s="180"/>
      <c r="CW75" s="180"/>
      <c r="CX75" s="180"/>
      <c r="CY75" s="180"/>
      <c r="CZ75" s="180"/>
    </row>
    <row r="76" spans="1:104" x14ac:dyDescent="0.45">
      <c r="A76" s="180" t="s">
        <v>80</v>
      </c>
      <c r="B76" s="73">
        <v>100</v>
      </c>
      <c r="C76" s="73"/>
      <c r="D76" s="180" t="s">
        <v>72</v>
      </c>
      <c r="E76" s="39">
        <v>43596</v>
      </c>
      <c r="F76" s="179">
        <v>0.33333333333333331</v>
      </c>
      <c r="G76" s="180">
        <v>2</v>
      </c>
      <c r="H76" s="180" t="s">
        <v>322</v>
      </c>
      <c r="I76" s="180"/>
      <c r="J76" s="180"/>
      <c r="K76" s="180"/>
      <c r="L76" s="180"/>
      <c r="M76" s="180"/>
      <c r="N76" s="180"/>
      <c r="O76" s="180"/>
      <c r="P76" s="180"/>
      <c r="AS76" s="180"/>
      <c r="AT76" s="180"/>
      <c r="AU76" s="180"/>
      <c r="AV76" s="180"/>
      <c r="AW76" s="180"/>
      <c r="AX76" s="180"/>
      <c r="AY76" s="180"/>
      <c r="AZ76" s="180"/>
      <c r="BA76" s="180"/>
      <c r="BB76" s="180"/>
      <c r="BC76" s="180"/>
      <c r="BD76" s="180"/>
      <c r="BE76" s="180"/>
      <c r="BF76" s="180"/>
      <c r="BG76" s="180"/>
      <c r="BH76" s="90" t="s">
        <v>9</v>
      </c>
      <c r="BI76" s="86">
        <v>0</v>
      </c>
      <c r="BJ76" s="86">
        <v>0</v>
      </c>
      <c r="BK76" s="86">
        <v>16</v>
      </c>
      <c r="BL76" s="86">
        <v>16</v>
      </c>
      <c r="BM76" s="86">
        <v>650</v>
      </c>
      <c r="BN76" s="86">
        <v>413</v>
      </c>
      <c r="BO76" s="86">
        <v>2</v>
      </c>
      <c r="BP76" s="86">
        <v>87</v>
      </c>
      <c r="BQ76" s="86">
        <v>2</v>
      </c>
      <c r="BR76" s="86">
        <v>1186</v>
      </c>
      <c r="BS76" s="180"/>
      <c r="BT76" s="180"/>
      <c r="BU76" s="180"/>
      <c r="BV76" s="180"/>
      <c r="BW76" s="180"/>
      <c r="BX76" s="180"/>
      <c r="BY76" s="180"/>
      <c r="BZ76" s="180"/>
      <c r="CA76" s="180"/>
      <c r="CB76" s="180"/>
      <c r="CC76" s="180"/>
      <c r="CD76" s="180"/>
      <c r="CE76" s="180"/>
      <c r="CF76" s="180"/>
      <c r="CG76" s="180"/>
      <c r="CH76" s="180"/>
      <c r="CI76" s="180"/>
      <c r="CJ76" s="180"/>
      <c r="CK76" s="180"/>
      <c r="CL76" s="180"/>
      <c r="CM76" s="180"/>
      <c r="CN76" s="180"/>
      <c r="CO76" s="180"/>
      <c r="CP76" s="180"/>
      <c r="CQ76" s="180"/>
      <c r="CR76" s="180"/>
      <c r="CS76" s="180"/>
      <c r="CT76" s="180"/>
      <c r="CU76" s="180"/>
      <c r="CV76" s="180"/>
      <c r="CW76" s="180"/>
      <c r="CX76" s="180"/>
      <c r="CY76" s="180"/>
      <c r="CZ76" s="180"/>
    </row>
    <row r="77" spans="1:104" x14ac:dyDescent="0.45">
      <c r="A77" s="180" t="s">
        <v>80</v>
      </c>
      <c r="B77" s="73">
        <v>3</v>
      </c>
      <c r="C77" s="73">
        <v>3</v>
      </c>
      <c r="D77" s="180" t="s">
        <v>314</v>
      </c>
      <c r="E77" s="39">
        <v>43596</v>
      </c>
      <c r="F77" s="179">
        <v>0.35416666666666669</v>
      </c>
      <c r="G77" s="180">
        <v>7</v>
      </c>
      <c r="H77" s="180"/>
      <c r="I77" s="180"/>
      <c r="J77" s="180"/>
      <c r="K77" s="180"/>
      <c r="L77" s="180"/>
      <c r="M77" s="180"/>
      <c r="N77" s="180"/>
      <c r="O77" s="180"/>
      <c r="P77" s="180"/>
      <c r="AS77" s="180"/>
      <c r="AT77" s="180"/>
      <c r="AU77" s="180"/>
      <c r="AV77" s="180"/>
      <c r="AW77" s="180"/>
      <c r="AX77" s="180"/>
      <c r="AY77" s="180"/>
      <c r="AZ77" s="180"/>
      <c r="BA77" s="180"/>
      <c r="BB77" s="180"/>
      <c r="BC77" s="180"/>
      <c r="BD77" s="180"/>
      <c r="BE77" s="180"/>
      <c r="BF77" s="180"/>
      <c r="BG77" s="180"/>
      <c r="BH77" s="90" t="s">
        <v>44</v>
      </c>
      <c r="BI77" s="86">
        <v>0</v>
      </c>
      <c r="BJ77" s="86">
        <v>0</v>
      </c>
      <c r="BK77" s="86">
        <v>0</v>
      </c>
      <c r="BL77" s="86">
        <v>0</v>
      </c>
      <c r="BM77" s="86">
        <v>2</v>
      </c>
      <c r="BN77" s="86">
        <v>1</v>
      </c>
      <c r="BO77" s="86">
        <v>0</v>
      </c>
      <c r="BP77" s="86">
        <v>1</v>
      </c>
      <c r="BQ77" s="86">
        <v>3</v>
      </c>
      <c r="BR77" s="86">
        <v>7</v>
      </c>
      <c r="BS77" s="180"/>
      <c r="BT77" s="180"/>
      <c r="BU77" s="180"/>
      <c r="BV77" s="180"/>
      <c r="BW77" s="180"/>
      <c r="BX77" s="180"/>
      <c r="BY77" s="180"/>
      <c r="BZ77" s="180"/>
      <c r="CA77" s="180"/>
      <c r="CB77" s="180"/>
      <c r="CC77" s="180"/>
      <c r="CD77" s="180"/>
      <c r="CE77" s="180"/>
      <c r="CF77" s="180"/>
      <c r="CG77" s="180"/>
      <c r="CH77" s="180"/>
      <c r="CI77" s="180"/>
      <c r="CJ77" s="180"/>
      <c r="CK77" s="180"/>
      <c r="CL77" s="180"/>
      <c r="CM77" s="180"/>
      <c r="CN77" s="180"/>
      <c r="CO77" s="180"/>
      <c r="CP77" s="180"/>
      <c r="CQ77" s="180"/>
      <c r="CR77" s="180"/>
      <c r="CS77" s="180"/>
      <c r="CT77" s="180"/>
      <c r="CU77" s="180"/>
      <c r="CV77" s="180"/>
      <c r="CW77" s="180"/>
      <c r="CX77" s="180"/>
      <c r="CY77" s="180"/>
      <c r="CZ77" s="180"/>
    </row>
    <row r="78" spans="1:104" x14ac:dyDescent="0.45">
      <c r="A78" s="180" t="s">
        <v>80</v>
      </c>
      <c r="B78" s="73">
        <v>3</v>
      </c>
      <c r="C78" s="73"/>
      <c r="D78" s="180" t="s">
        <v>314</v>
      </c>
      <c r="E78" s="39">
        <v>43596</v>
      </c>
      <c r="F78" s="179">
        <v>0.3611111111111111</v>
      </c>
      <c r="G78" s="180">
        <v>3</v>
      </c>
      <c r="H78" s="180" t="s">
        <v>323</v>
      </c>
      <c r="I78" s="180"/>
      <c r="J78" s="180"/>
      <c r="K78" s="180"/>
      <c r="L78" s="180"/>
      <c r="M78" s="180"/>
      <c r="N78" s="180"/>
      <c r="O78" s="180"/>
      <c r="P78" s="180"/>
      <c r="AS78" s="180"/>
      <c r="AT78" s="180"/>
      <c r="AU78" s="180"/>
      <c r="AV78" s="180"/>
      <c r="AW78" s="180"/>
      <c r="AX78" s="180"/>
      <c r="AY78" s="180"/>
      <c r="AZ78" s="180"/>
      <c r="BA78" s="180"/>
      <c r="BB78" s="180"/>
      <c r="BC78" s="180"/>
      <c r="BD78" s="180"/>
      <c r="BE78" s="180"/>
      <c r="BF78" s="180"/>
      <c r="BG78" s="180"/>
      <c r="BH78" s="90" t="s">
        <v>10</v>
      </c>
      <c r="BI78" s="86">
        <v>0</v>
      </c>
      <c r="BJ78" s="86">
        <v>0</v>
      </c>
      <c r="BK78" s="86">
        <v>0</v>
      </c>
      <c r="BL78" s="86">
        <v>2</v>
      </c>
      <c r="BM78" s="86">
        <v>15</v>
      </c>
      <c r="BN78" s="86">
        <v>15</v>
      </c>
      <c r="BO78" s="86">
        <v>80</v>
      </c>
      <c r="BP78" s="86">
        <v>10</v>
      </c>
      <c r="BQ78" s="86">
        <v>0</v>
      </c>
      <c r="BR78" s="86">
        <v>122</v>
      </c>
      <c r="BS78" s="180"/>
      <c r="BT78" s="180"/>
      <c r="BU78" s="180"/>
      <c r="BV78" s="180"/>
      <c r="BW78" s="180"/>
      <c r="BX78" s="180"/>
      <c r="BY78" s="180"/>
      <c r="BZ78" s="180"/>
      <c r="CA78" s="180"/>
      <c r="CB78" s="180"/>
      <c r="CC78" s="180"/>
      <c r="CD78" s="180"/>
      <c r="CE78" s="180"/>
      <c r="CF78" s="180"/>
      <c r="CG78" s="180"/>
      <c r="CH78" s="180"/>
      <c r="CI78" s="180"/>
      <c r="CJ78" s="180"/>
      <c r="CK78" s="180"/>
      <c r="CL78" s="180"/>
      <c r="CM78" s="180"/>
      <c r="CN78" s="180"/>
      <c r="CO78" s="180"/>
      <c r="CP78" s="180"/>
      <c r="CQ78" s="180"/>
      <c r="CR78" s="180"/>
      <c r="CS78" s="180"/>
      <c r="CT78" s="180"/>
      <c r="CU78" s="180"/>
      <c r="CV78" s="180"/>
      <c r="CW78" s="180"/>
      <c r="CX78" s="180"/>
      <c r="CY78" s="180"/>
      <c r="CZ78" s="180"/>
    </row>
    <row r="79" spans="1:104" x14ac:dyDescent="0.45">
      <c r="A79" s="180" t="s">
        <v>80</v>
      </c>
      <c r="B79" s="73">
        <v>3</v>
      </c>
      <c r="C79" s="73"/>
      <c r="D79" s="180" t="s">
        <v>314</v>
      </c>
      <c r="E79" s="39">
        <v>43596</v>
      </c>
      <c r="F79" s="179">
        <v>0.36041666666666666</v>
      </c>
      <c r="G79" s="180">
        <v>1</v>
      </c>
      <c r="H79" s="180"/>
      <c r="I79" s="180"/>
      <c r="J79" s="180"/>
      <c r="K79" s="180"/>
      <c r="L79" s="180"/>
      <c r="M79" s="180"/>
      <c r="N79" s="180"/>
      <c r="O79" s="180"/>
      <c r="P79" s="180"/>
      <c r="AS79" s="180"/>
      <c r="AT79" s="180"/>
      <c r="AU79" s="180"/>
      <c r="AV79" s="180"/>
      <c r="AW79" s="180"/>
      <c r="AX79" s="180"/>
      <c r="AY79" s="180"/>
      <c r="AZ79" s="180"/>
      <c r="BA79" s="180"/>
      <c r="BB79" s="180"/>
      <c r="BC79" s="180"/>
      <c r="BD79" s="180"/>
      <c r="BE79" s="180"/>
      <c r="BF79" s="180"/>
      <c r="BG79" s="180"/>
      <c r="BH79" s="90" t="s">
        <v>11</v>
      </c>
      <c r="BI79" s="86">
        <v>0</v>
      </c>
      <c r="BJ79" s="86">
        <v>0</v>
      </c>
      <c r="BK79" s="86">
        <v>0</v>
      </c>
      <c r="BL79" s="86">
        <v>50</v>
      </c>
      <c r="BM79" s="86">
        <v>1611</v>
      </c>
      <c r="BN79" s="86">
        <v>2885</v>
      </c>
      <c r="BO79" s="86">
        <v>2431</v>
      </c>
      <c r="BP79" s="86">
        <v>212</v>
      </c>
      <c r="BQ79" s="86">
        <v>36</v>
      </c>
      <c r="BR79" s="86">
        <v>7225</v>
      </c>
      <c r="BS79" s="180"/>
      <c r="BT79" s="180"/>
      <c r="BU79" s="180"/>
      <c r="BV79" s="180"/>
      <c r="BW79" s="180"/>
      <c r="BX79" s="180"/>
      <c r="BY79" s="180"/>
      <c r="BZ79" s="180"/>
      <c r="CA79" s="180"/>
      <c r="CB79" s="180"/>
      <c r="CC79" s="180"/>
      <c r="CD79" s="180"/>
      <c r="CE79" s="180"/>
      <c r="CF79" s="180"/>
      <c r="CG79" s="180"/>
      <c r="CH79" s="180"/>
      <c r="CI79" s="180"/>
      <c r="CJ79" s="180"/>
      <c r="CK79" s="180"/>
      <c r="CL79" s="180"/>
      <c r="CM79" s="180"/>
      <c r="CN79" s="180"/>
      <c r="CO79" s="180"/>
      <c r="CP79" s="180"/>
      <c r="CQ79" s="180"/>
      <c r="CR79" s="180"/>
      <c r="CS79" s="180"/>
      <c r="CT79" s="180"/>
      <c r="CU79" s="180"/>
      <c r="CV79" s="180"/>
      <c r="CW79" s="180"/>
      <c r="CX79" s="180"/>
      <c r="CY79" s="180"/>
      <c r="CZ79" s="180"/>
    </row>
    <row r="80" spans="1:104" x14ac:dyDescent="0.45">
      <c r="A80" s="180" t="s">
        <v>80</v>
      </c>
      <c r="B80" s="73">
        <v>1</v>
      </c>
      <c r="C80" s="73"/>
      <c r="D80" s="180" t="s">
        <v>314</v>
      </c>
      <c r="E80" s="39">
        <v>43596</v>
      </c>
      <c r="F80" s="179">
        <v>0.88541666666666663</v>
      </c>
      <c r="G80" s="180">
        <v>3</v>
      </c>
      <c r="H80" s="180"/>
      <c r="I80" s="180"/>
      <c r="J80" s="180"/>
      <c r="K80" s="180"/>
      <c r="L80" s="180"/>
      <c r="M80" s="180"/>
      <c r="N80" s="180"/>
      <c r="O80" s="180"/>
      <c r="P80" s="180"/>
      <c r="AS80" s="180"/>
      <c r="AT80" s="180"/>
      <c r="AU80" s="180"/>
      <c r="AV80" s="180"/>
      <c r="AW80" s="180"/>
      <c r="AX80" s="180"/>
      <c r="AY80" s="180"/>
      <c r="AZ80" s="180"/>
      <c r="BA80" s="180"/>
      <c r="BB80" s="180"/>
      <c r="BC80" s="180"/>
      <c r="BD80" s="180"/>
      <c r="BE80" s="180"/>
      <c r="BF80" s="180"/>
      <c r="BG80" s="180"/>
      <c r="BH80" s="90" t="s">
        <v>12</v>
      </c>
      <c r="BI80" s="86">
        <v>0</v>
      </c>
      <c r="BJ80" s="86">
        <v>0</v>
      </c>
      <c r="BK80" s="86">
        <v>0</v>
      </c>
      <c r="BL80" s="86">
        <v>3</v>
      </c>
      <c r="BM80" s="86">
        <v>25</v>
      </c>
      <c r="BN80" s="86">
        <v>49</v>
      </c>
      <c r="BO80" s="86">
        <v>24</v>
      </c>
      <c r="BP80" s="86">
        <v>1</v>
      </c>
      <c r="BQ80" s="86">
        <v>0</v>
      </c>
      <c r="BR80" s="86">
        <v>102</v>
      </c>
      <c r="BS80" s="180"/>
      <c r="BT80" s="180"/>
      <c r="BU80" s="180"/>
      <c r="BV80" s="180"/>
      <c r="BW80" s="180"/>
      <c r="BX80" s="180"/>
      <c r="BY80" s="180"/>
      <c r="BZ80" s="180"/>
      <c r="CA80" s="180"/>
      <c r="CB80" s="180"/>
      <c r="CC80" s="180"/>
      <c r="CD80" s="180"/>
      <c r="CE80" s="180"/>
      <c r="CF80" s="180"/>
      <c r="CG80" s="180"/>
      <c r="CH80" s="180"/>
      <c r="CI80" s="180"/>
      <c r="CJ80" s="180"/>
      <c r="CK80" s="180"/>
      <c r="CL80" s="180"/>
      <c r="CM80" s="180"/>
      <c r="CN80" s="180"/>
      <c r="CO80" s="180"/>
      <c r="CP80" s="180"/>
      <c r="CQ80" s="180"/>
      <c r="CR80" s="180"/>
      <c r="CS80" s="180"/>
      <c r="CT80" s="180"/>
      <c r="CU80" s="180"/>
      <c r="CV80" s="180"/>
      <c r="CW80" s="180"/>
      <c r="CX80" s="180"/>
      <c r="CY80" s="180"/>
      <c r="CZ80" s="180"/>
    </row>
    <row r="81" spans="1:104" x14ac:dyDescent="0.45">
      <c r="A81" s="180" t="s">
        <v>80</v>
      </c>
      <c r="B81" s="73">
        <v>3</v>
      </c>
      <c r="C81" s="73"/>
      <c r="D81" s="180" t="s">
        <v>314</v>
      </c>
      <c r="E81" s="39">
        <v>43596</v>
      </c>
      <c r="F81" s="179">
        <v>0.3611111111111111</v>
      </c>
      <c r="G81" s="180">
        <v>3</v>
      </c>
      <c r="H81" s="180" t="s">
        <v>323</v>
      </c>
      <c r="I81" s="180"/>
      <c r="J81" s="180"/>
      <c r="K81" s="180"/>
      <c r="L81" s="180"/>
      <c r="M81" s="180"/>
      <c r="N81" s="180"/>
      <c r="O81" s="180"/>
      <c r="P81" s="180"/>
      <c r="AS81" s="180"/>
      <c r="AT81" s="180"/>
      <c r="AU81" s="180"/>
      <c r="AV81" s="180"/>
      <c r="AW81" s="180"/>
      <c r="AX81" s="180"/>
      <c r="AY81" s="180"/>
      <c r="AZ81" s="180"/>
      <c r="BA81" s="180"/>
      <c r="BB81" s="180"/>
      <c r="BC81" s="180"/>
      <c r="BD81" s="180"/>
      <c r="BE81" s="180"/>
      <c r="BF81" s="180"/>
      <c r="BG81" s="180"/>
      <c r="BH81" s="90" t="s">
        <v>32</v>
      </c>
      <c r="BI81" s="86">
        <v>0</v>
      </c>
      <c r="BJ81" s="86">
        <v>0</v>
      </c>
      <c r="BK81" s="86">
        <v>0</v>
      </c>
      <c r="BL81" s="86">
        <v>0</v>
      </c>
      <c r="BM81" s="86">
        <v>5</v>
      </c>
      <c r="BN81" s="86">
        <v>0</v>
      </c>
      <c r="BO81" s="86">
        <v>0</v>
      </c>
      <c r="BP81" s="86">
        <v>5</v>
      </c>
      <c r="BQ81" s="86">
        <v>0</v>
      </c>
      <c r="BR81" s="86">
        <v>10</v>
      </c>
      <c r="BS81" s="180"/>
      <c r="BT81" s="180"/>
      <c r="BU81" s="180"/>
      <c r="BV81" s="180"/>
      <c r="BW81" s="180"/>
      <c r="BX81" s="180"/>
      <c r="BY81" s="180"/>
      <c r="BZ81" s="180"/>
      <c r="CA81" s="180"/>
      <c r="CB81" s="180"/>
      <c r="CC81" s="180"/>
      <c r="CD81" s="180"/>
      <c r="CE81" s="180"/>
      <c r="CF81" s="180"/>
      <c r="CG81" s="180"/>
      <c r="CH81" s="180"/>
      <c r="CI81" s="180"/>
      <c r="CJ81" s="180"/>
      <c r="CK81" s="180"/>
      <c r="CL81" s="180"/>
      <c r="CM81" s="180"/>
      <c r="CN81" s="180"/>
      <c r="CO81" s="180"/>
      <c r="CP81" s="180"/>
      <c r="CQ81" s="180"/>
      <c r="CR81" s="180"/>
      <c r="CS81" s="180"/>
      <c r="CT81" s="180"/>
      <c r="CU81" s="180"/>
      <c r="CV81" s="180"/>
      <c r="CW81" s="180"/>
      <c r="CX81" s="180"/>
      <c r="CY81" s="180"/>
      <c r="CZ81" s="180"/>
    </row>
    <row r="82" spans="1:104" x14ac:dyDescent="0.45">
      <c r="A82" s="180" t="s">
        <v>80</v>
      </c>
      <c r="B82" s="73">
        <v>3</v>
      </c>
      <c r="C82" s="73">
        <v>3</v>
      </c>
      <c r="D82" s="180" t="s">
        <v>309</v>
      </c>
      <c r="E82" s="39">
        <v>43596</v>
      </c>
      <c r="F82" s="179">
        <v>0.37986111111111115</v>
      </c>
      <c r="G82" s="180">
        <v>1</v>
      </c>
      <c r="H82" s="180"/>
      <c r="I82" s="180"/>
      <c r="J82" s="180"/>
      <c r="K82" s="180"/>
      <c r="L82" s="180"/>
      <c r="M82" s="180"/>
      <c r="N82" s="180"/>
      <c r="O82" s="180"/>
      <c r="P82" s="180"/>
      <c r="AS82" s="180"/>
      <c r="AT82" s="180"/>
      <c r="AU82" s="180"/>
      <c r="AV82" s="180"/>
      <c r="AW82" s="180"/>
      <c r="AX82" s="180"/>
      <c r="AY82" s="180"/>
      <c r="AZ82" s="180"/>
      <c r="BA82" s="180"/>
      <c r="BB82" s="180"/>
      <c r="BC82" s="180"/>
      <c r="BD82" s="180"/>
      <c r="BE82" s="180"/>
      <c r="BF82" s="180"/>
      <c r="BG82" s="180"/>
      <c r="BH82" s="90" t="s">
        <v>18</v>
      </c>
      <c r="BI82" s="86">
        <v>0</v>
      </c>
      <c r="BJ82" s="86">
        <v>0</v>
      </c>
      <c r="BK82" s="86">
        <v>0</v>
      </c>
      <c r="BL82" s="86">
        <v>0</v>
      </c>
      <c r="BM82" s="86">
        <v>40</v>
      </c>
      <c r="BN82" s="86">
        <v>150</v>
      </c>
      <c r="BO82" s="86">
        <v>140</v>
      </c>
      <c r="BP82" s="86">
        <v>30</v>
      </c>
      <c r="BQ82" s="86">
        <v>0</v>
      </c>
      <c r="BR82" s="86">
        <v>360</v>
      </c>
      <c r="BS82" s="180"/>
      <c r="BT82" s="180"/>
      <c r="BU82" s="180"/>
      <c r="BV82" s="180"/>
      <c r="BW82" s="180"/>
      <c r="BX82" s="180"/>
      <c r="BY82" s="180"/>
      <c r="BZ82" s="180"/>
      <c r="CA82" s="180"/>
      <c r="CB82" s="180"/>
      <c r="CC82" s="180"/>
      <c r="CD82" s="180"/>
      <c r="CE82" s="180"/>
      <c r="CF82" s="180"/>
      <c r="CG82" s="180"/>
      <c r="CH82" s="180"/>
      <c r="CI82" s="180"/>
      <c r="CJ82" s="180"/>
      <c r="CK82" s="180"/>
      <c r="CL82" s="180"/>
      <c r="CM82" s="180"/>
      <c r="CN82" s="180"/>
      <c r="CO82" s="180"/>
      <c r="CP82" s="180"/>
      <c r="CQ82" s="180"/>
      <c r="CR82" s="180"/>
      <c r="CS82" s="180"/>
      <c r="CT82" s="180"/>
      <c r="CU82" s="180"/>
      <c r="CV82" s="180"/>
      <c r="CW82" s="180"/>
      <c r="CX82" s="180"/>
      <c r="CY82" s="180"/>
      <c r="CZ82" s="180"/>
    </row>
    <row r="83" spans="1:104" x14ac:dyDescent="0.45">
      <c r="A83" s="180" t="s">
        <v>80</v>
      </c>
      <c r="B83" s="73">
        <v>2</v>
      </c>
      <c r="C83" s="73"/>
      <c r="D83" s="180" t="s">
        <v>324</v>
      </c>
      <c r="E83" s="39">
        <v>43596</v>
      </c>
      <c r="F83" s="179">
        <v>0.28333333333333333</v>
      </c>
      <c r="G83" s="180">
        <v>2</v>
      </c>
      <c r="H83" s="180"/>
      <c r="I83" s="180"/>
      <c r="J83" s="180"/>
      <c r="K83" s="180"/>
      <c r="L83" s="180"/>
      <c r="M83" s="180"/>
      <c r="N83" s="180"/>
      <c r="O83" s="180"/>
      <c r="P83" s="180"/>
      <c r="AS83" s="180"/>
      <c r="AT83" s="180"/>
      <c r="AU83" s="180"/>
      <c r="AV83" s="180"/>
      <c r="AW83" s="180"/>
      <c r="AX83" s="180"/>
      <c r="AY83" s="180"/>
      <c r="AZ83" s="180"/>
      <c r="BA83" s="180"/>
      <c r="BB83" s="180"/>
      <c r="BC83" s="180"/>
      <c r="BD83" s="180"/>
      <c r="BE83" s="180"/>
      <c r="BF83" s="180"/>
      <c r="BG83" s="180"/>
      <c r="BH83" s="90" t="s">
        <v>46</v>
      </c>
      <c r="BI83" s="86">
        <v>0</v>
      </c>
      <c r="BJ83" s="86">
        <v>0</v>
      </c>
      <c r="BK83" s="86">
        <v>0</v>
      </c>
      <c r="BL83" s="86">
        <v>0</v>
      </c>
      <c r="BM83" s="86">
        <v>0</v>
      </c>
      <c r="BN83" s="86">
        <v>0</v>
      </c>
      <c r="BO83" s="86">
        <v>0</v>
      </c>
      <c r="BP83" s="86">
        <v>0</v>
      </c>
      <c r="BQ83" s="86">
        <v>0</v>
      </c>
      <c r="BR83" s="86">
        <v>0</v>
      </c>
      <c r="BS83" s="180"/>
      <c r="BT83" s="180"/>
      <c r="BU83" s="180"/>
      <c r="BV83" s="180"/>
      <c r="BW83" s="180"/>
      <c r="BX83" s="180"/>
      <c r="BY83" s="180"/>
      <c r="BZ83" s="180"/>
      <c r="CA83" s="180"/>
      <c r="CB83" s="180"/>
      <c r="CC83" s="180"/>
      <c r="CD83" s="180"/>
      <c r="CE83" s="180"/>
      <c r="CF83" s="180"/>
      <c r="CG83" s="180"/>
      <c r="CH83" s="180"/>
      <c r="CI83" s="180"/>
      <c r="CJ83" s="180"/>
      <c r="CK83" s="180"/>
      <c r="CL83" s="180"/>
      <c r="CM83" s="180"/>
      <c r="CN83" s="180"/>
      <c r="CO83" s="180"/>
      <c r="CP83" s="180"/>
      <c r="CQ83" s="180"/>
      <c r="CR83" s="180"/>
      <c r="CS83" s="180"/>
      <c r="CT83" s="180"/>
      <c r="CU83" s="180"/>
      <c r="CV83" s="180"/>
      <c r="CW83" s="180"/>
      <c r="CX83" s="180"/>
      <c r="CY83" s="180"/>
      <c r="CZ83" s="180"/>
    </row>
    <row r="84" spans="1:104" x14ac:dyDescent="0.45">
      <c r="A84" s="180" t="s">
        <v>80</v>
      </c>
      <c r="B84" s="73">
        <v>2</v>
      </c>
      <c r="C84" s="73">
        <v>2</v>
      </c>
      <c r="D84" s="180" t="s">
        <v>271</v>
      </c>
      <c r="E84" s="39">
        <v>43596</v>
      </c>
      <c r="F84" s="179">
        <v>0.33333333333333331</v>
      </c>
      <c r="G84" s="180">
        <v>10</v>
      </c>
      <c r="H84" s="180" t="s">
        <v>325</v>
      </c>
      <c r="I84" s="180" t="s">
        <v>326</v>
      </c>
      <c r="J84" s="180"/>
      <c r="K84" s="180"/>
      <c r="L84" s="180"/>
      <c r="M84" s="180"/>
      <c r="N84" s="180"/>
      <c r="O84" s="180"/>
      <c r="P84" s="180"/>
      <c r="AS84" s="180"/>
      <c r="AT84" s="180"/>
      <c r="AU84" s="180"/>
      <c r="AV84" s="180"/>
      <c r="AW84" s="180"/>
      <c r="AX84" s="180"/>
      <c r="AY84" s="180"/>
      <c r="AZ84" s="180"/>
      <c r="BA84" s="180"/>
      <c r="BB84" s="180"/>
      <c r="BC84" s="180"/>
      <c r="BD84" s="180"/>
      <c r="BE84" s="180"/>
      <c r="BF84" s="180"/>
      <c r="BG84" s="180"/>
      <c r="BH84" s="90" t="s">
        <v>13</v>
      </c>
      <c r="BI84" s="86">
        <v>0</v>
      </c>
      <c r="BJ84" s="86">
        <v>0</v>
      </c>
      <c r="BK84" s="86">
        <v>0</v>
      </c>
      <c r="BL84" s="86">
        <v>0</v>
      </c>
      <c r="BM84" s="86">
        <v>0</v>
      </c>
      <c r="BN84" s="86">
        <v>6</v>
      </c>
      <c r="BO84" s="86">
        <v>0</v>
      </c>
      <c r="BP84" s="86">
        <v>0</v>
      </c>
      <c r="BQ84" s="86">
        <v>9</v>
      </c>
      <c r="BR84" s="86">
        <v>15</v>
      </c>
      <c r="BS84" s="180"/>
      <c r="BT84" s="180"/>
      <c r="BU84" s="180"/>
      <c r="BV84" s="180"/>
      <c r="BW84" s="180"/>
      <c r="BX84" s="180"/>
      <c r="BY84" s="180"/>
      <c r="BZ84" s="180"/>
      <c r="CA84" s="180"/>
      <c r="CB84" s="180"/>
      <c r="CC84" s="180"/>
      <c r="CD84" s="180"/>
      <c r="CE84" s="180"/>
      <c r="CF84" s="180"/>
      <c r="CG84" s="180"/>
      <c r="CH84" s="180"/>
      <c r="CI84" s="180"/>
      <c r="CJ84" s="180"/>
      <c r="CK84" s="180"/>
      <c r="CL84" s="180"/>
      <c r="CM84" s="180"/>
      <c r="CN84" s="180"/>
      <c r="CO84" s="180"/>
      <c r="CP84" s="180"/>
      <c r="CQ84" s="180"/>
      <c r="CR84" s="180"/>
      <c r="CS84" s="180"/>
      <c r="CT84" s="180"/>
      <c r="CU84" s="180"/>
      <c r="CV84" s="180"/>
      <c r="CW84" s="180"/>
      <c r="CX84" s="180"/>
      <c r="CY84" s="180"/>
      <c r="CZ84" s="180"/>
    </row>
    <row r="85" spans="1:104" x14ac:dyDescent="0.45">
      <c r="A85" s="180" t="s">
        <v>80</v>
      </c>
      <c r="B85" s="73">
        <v>1</v>
      </c>
      <c r="C85" s="73"/>
      <c r="D85" s="180" t="s">
        <v>271</v>
      </c>
      <c r="E85" s="39">
        <v>43596</v>
      </c>
      <c r="F85" s="179">
        <v>0.33333333333333331</v>
      </c>
      <c r="G85" s="180">
        <v>6</v>
      </c>
      <c r="H85" s="180" t="s">
        <v>327</v>
      </c>
      <c r="I85" s="180"/>
      <c r="J85" s="180"/>
      <c r="K85" s="180"/>
      <c r="L85" s="180"/>
      <c r="M85" s="180"/>
      <c r="N85" s="180"/>
      <c r="O85" s="180"/>
      <c r="P85" s="180"/>
      <c r="AS85" s="180"/>
      <c r="AT85" s="180"/>
      <c r="AU85" s="180"/>
      <c r="AV85" s="180"/>
      <c r="AW85" s="180"/>
      <c r="AX85" s="180"/>
      <c r="AY85" s="180"/>
      <c r="AZ85" s="180"/>
      <c r="BA85" s="180"/>
      <c r="BB85" s="180"/>
      <c r="BC85" s="180"/>
      <c r="BD85" s="180"/>
      <c r="BE85" s="180"/>
      <c r="BF85" s="180"/>
      <c r="BG85" s="180"/>
      <c r="BH85" s="90" t="s">
        <v>14</v>
      </c>
      <c r="BI85" s="86">
        <v>0</v>
      </c>
      <c r="BJ85" s="86">
        <v>0</v>
      </c>
      <c r="BK85" s="86">
        <v>0</v>
      </c>
      <c r="BL85" s="86">
        <v>9</v>
      </c>
      <c r="BM85" s="86">
        <v>173</v>
      </c>
      <c r="BN85" s="86">
        <v>263</v>
      </c>
      <c r="BO85" s="86">
        <v>126</v>
      </c>
      <c r="BP85" s="86">
        <v>19</v>
      </c>
      <c r="BQ85" s="86">
        <v>0</v>
      </c>
      <c r="BR85" s="86">
        <v>590</v>
      </c>
      <c r="BS85" s="180"/>
      <c r="BT85" s="180"/>
      <c r="BU85" s="180"/>
      <c r="BV85" s="180"/>
      <c r="BW85" s="180"/>
      <c r="BX85" s="180"/>
      <c r="BY85" s="180"/>
      <c r="BZ85" s="180"/>
      <c r="CA85" s="180"/>
      <c r="CB85" s="180"/>
      <c r="CC85" s="180"/>
      <c r="CD85" s="180"/>
      <c r="CE85" s="180"/>
      <c r="CF85" s="180"/>
      <c r="CG85" s="180"/>
      <c r="CH85" s="180"/>
      <c r="CI85" s="180"/>
      <c r="CJ85" s="180"/>
      <c r="CK85" s="180"/>
      <c r="CL85" s="180"/>
      <c r="CM85" s="180"/>
      <c r="CN85" s="180"/>
      <c r="CO85" s="180"/>
      <c r="CP85" s="180"/>
      <c r="CQ85" s="180"/>
      <c r="CR85" s="180"/>
      <c r="CS85" s="180"/>
      <c r="CT85" s="180"/>
      <c r="CU85" s="180"/>
      <c r="CV85" s="180"/>
      <c r="CW85" s="180"/>
      <c r="CX85" s="180"/>
      <c r="CY85" s="180"/>
      <c r="CZ85" s="180"/>
    </row>
    <row r="86" spans="1:104" x14ac:dyDescent="0.45">
      <c r="A86" s="180" t="s">
        <v>80</v>
      </c>
      <c r="B86" s="73">
        <v>12</v>
      </c>
      <c r="C86" s="73">
        <v>12</v>
      </c>
      <c r="D86" s="180" t="s">
        <v>319</v>
      </c>
      <c r="E86" s="39">
        <v>43596</v>
      </c>
      <c r="F86" s="179">
        <v>0.33333333333333331</v>
      </c>
      <c r="G86" s="180">
        <v>1</v>
      </c>
      <c r="H86" s="180" t="s">
        <v>328</v>
      </c>
      <c r="I86" s="180"/>
      <c r="J86" s="180"/>
      <c r="K86" s="180"/>
      <c r="L86" s="180"/>
      <c r="M86" s="180"/>
      <c r="N86" s="180"/>
      <c r="O86" s="180"/>
      <c r="P86" s="180"/>
      <c r="AS86" s="180"/>
      <c r="AT86" s="180"/>
      <c r="AU86" s="180"/>
      <c r="AV86" s="180"/>
      <c r="AW86" s="180"/>
      <c r="AX86" s="180"/>
      <c r="AY86" s="180"/>
      <c r="AZ86" s="180"/>
      <c r="BA86" s="180"/>
      <c r="BB86" s="180"/>
      <c r="BC86" s="180"/>
      <c r="BD86" s="180"/>
      <c r="BE86" s="180"/>
      <c r="BF86" s="180"/>
      <c r="BG86" s="180"/>
      <c r="BH86" s="90" t="s">
        <v>40</v>
      </c>
      <c r="BI86" s="86">
        <v>32</v>
      </c>
      <c r="BJ86" s="86">
        <v>10</v>
      </c>
      <c r="BK86" s="86">
        <v>0</v>
      </c>
      <c r="BL86" s="86">
        <v>5</v>
      </c>
      <c r="BM86" s="86">
        <v>0</v>
      </c>
      <c r="BN86" s="86">
        <v>0</v>
      </c>
      <c r="BO86" s="86">
        <v>0</v>
      </c>
      <c r="BP86" s="86">
        <v>0</v>
      </c>
      <c r="BQ86" s="86">
        <v>0</v>
      </c>
      <c r="BR86" s="86">
        <v>47</v>
      </c>
      <c r="BS86" s="180"/>
      <c r="BT86" s="180"/>
      <c r="BU86" s="180"/>
      <c r="BV86" s="180"/>
      <c r="BW86" s="180"/>
      <c r="BX86" s="180"/>
      <c r="BY86" s="180"/>
      <c r="BZ86" s="180"/>
      <c r="CA86" s="180"/>
      <c r="CB86" s="180"/>
      <c r="CC86" s="180"/>
      <c r="CD86" s="180"/>
      <c r="CE86" s="180"/>
      <c r="CF86" s="180"/>
      <c r="CG86" s="180"/>
      <c r="CH86" s="180"/>
      <c r="CI86" s="180"/>
      <c r="CJ86" s="180"/>
      <c r="CK86" s="180"/>
      <c r="CL86" s="180"/>
      <c r="CM86" s="180"/>
      <c r="CN86" s="180"/>
      <c r="CO86" s="180"/>
      <c r="CP86" s="180"/>
      <c r="CQ86" s="180"/>
      <c r="CR86" s="180"/>
      <c r="CS86" s="180"/>
      <c r="CT86" s="180"/>
      <c r="CU86" s="180"/>
      <c r="CV86" s="180"/>
      <c r="CW86" s="180"/>
      <c r="CX86" s="180"/>
      <c r="CY86" s="180"/>
      <c r="CZ86" s="180"/>
    </row>
    <row r="87" spans="1:104" x14ac:dyDescent="0.45">
      <c r="A87" s="180" t="s">
        <v>80</v>
      </c>
      <c r="B87" s="73">
        <v>1</v>
      </c>
      <c r="C87" s="73"/>
      <c r="D87" s="180" t="s">
        <v>319</v>
      </c>
      <c r="E87" s="39">
        <v>43596</v>
      </c>
      <c r="F87" s="179">
        <v>0.37708333333333338</v>
      </c>
      <c r="G87" s="180">
        <v>2</v>
      </c>
      <c r="H87" s="180"/>
      <c r="I87" s="180"/>
      <c r="J87" s="180"/>
      <c r="K87" s="180"/>
      <c r="L87" s="180"/>
      <c r="M87" s="180"/>
      <c r="N87" s="180"/>
      <c r="O87" s="180"/>
      <c r="P87" s="180"/>
      <c r="AS87" s="180"/>
      <c r="AT87" s="180"/>
      <c r="AU87" s="180"/>
      <c r="AV87" s="180"/>
      <c r="AW87" s="180"/>
      <c r="AX87" s="180"/>
      <c r="AY87" s="180"/>
      <c r="AZ87" s="180"/>
      <c r="BA87" s="180"/>
      <c r="BB87" s="180"/>
      <c r="BC87" s="180"/>
      <c r="BD87" s="180"/>
      <c r="BE87" s="180"/>
      <c r="BF87" s="180"/>
      <c r="BG87" s="180"/>
      <c r="BH87" s="90" t="s">
        <v>52</v>
      </c>
      <c r="BI87" s="86">
        <v>0</v>
      </c>
      <c r="BJ87" s="86">
        <v>0</v>
      </c>
      <c r="BK87" s="86">
        <v>0</v>
      </c>
      <c r="BL87" s="86">
        <v>0</v>
      </c>
      <c r="BM87" s="86">
        <v>0</v>
      </c>
      <c r="BN87" s="86">
        <v>0</v>
      </c>
      <c r="BO87" s="86">
        <v>0</v>
      </c>
      <c r="BP87" s="86">
        <v>0</v>
      </c>
      <c r="BQ87" s="86">
        <v>0</v>
      </c>
      <c r="BR87" s="86">
        <v>0</v>
      </c>
      <c r="BS87" s="180"/>
      <c r="BT87" s="180"/>
      <c r="BU87" s="180"/>
      <c r="BV87" s="180"/>
      <c r="BW87" s="180"/>
      <c r="BX87" s="180"/>
      <c r="BY87" s="180"/>
      <c r="BZ87" s="180"/>
      <c r="CA87" s="180"/>
      <c r="CB87" s="180"/>
      <c r="CC87" s="180"/>
      <c r="CD87" s="180"/>
      <c r="CE87" s="180"/>
      <c r="CF87" s="180"/>
      <c r="CG87" s="180"/>
      <c r="CH87" s="180"/>
      <c r="CI87" s="180"/>
      <c r="CJ87" s="180"/>
      <c r="CK87" s="180"/>
      <c r="CL87" s="180"/>
      <c r="CM87" s="180"/>
      <c r="CN87" s="180"/>
      <c r="CO87" s="180"/>
      <c r="CP87" s="180"/>
      <c r="CQ87" s="180"/>
      <c r="CR87" s="180"/>
      <c r="CS87" s="180"/>
      <c r="CT87" s="180"/>
      <c r="CU87" s="180"/>
      <c r="CV87" s="180"/>
      <c r="CW87" s="180"/>
      <c r="CX87" s="180"/>
      <c r="CY87" s="180"/>
      <c r="CZ87" s="180"/>
    </row>
    <row r="88" spans="1:104" x14ac:dyDescent="0.45">
      <c r="A88" s="180" t="s">
        <v>80</v>
      </c>
      <c r="B88" s="73">
        <v>1</v>
      </c>
      <c r="C88" s="73"/>
      <c r="D88" s="180" t="s">
        <v>319</v>
      </c>
      <c r="E88" s="39">
        <v>43596</v>
      </c>
      <c r="F88" s="179">
        <v>0.37708333333333338</v>
      </c>
      <c r="G88" s="180">
        <v>2</v>
      </c>
      <c r="H88" s="180"/>
      <c r="I88" s="180" t="s">
        <v>329</v>
      </c>
      <c r="J88" s="180"/>
      <c r="K88" s="180"/>
      <c r="L88" s="180"/>
      <c r="M88" s="180"/>
      <c r="N88" s="180"/>
      <c r="O88" s="180"/>
      <c r="P88" s="180"/>
      <c r="AS88" s="180"/>
      <c r="AT88" s="180"/>
      <c r="AU88" s="180"/>
      <c r="AV88" s="180"/>
      <c r="AW88" s="180"/>
      <c r="AX88" s="180"/>
      <c r="AY88" s="180"/>
      <c r="AZ88" s="180"/>
      <c r="BA88" s="180"/>
      <c r="BB88" s="180"/>
      <c r="BC88" s="180"/>
      <c r="BD88" s="180"/>
      <c r="BE88" s="180"/>
      <c r="BF88" s="180"/>
      <c r="BG88" s="180"/>
      <c r="BH88" s="90" t="s">
        <v>53</v>
      </c>
      <c r="BI88" s="86">
        <v>0</v>
      </c>
      <c r="BJ88" s="86">
        <v>0</v>
      </c>
      <c r="BK88" s="86">
        <v>0</v>
      </c>
      <c r="BL88" s="86">
        <v>0</v>
      </c>
      <c r="BM88" s="86">
        <v>0</v>
      </c>
      <c r="BN88" s="86">
        <v>0</v>
      </c>
      <c r="BO88" s="86">
        <v>0</v>
      </c>
      <c r="BP88" s="86">
        <v>0</v>
      </c>
      <c r="BQ88" s="86">
        <v>0</v>
      </c>
      <c r="BR88" s="86">
        <v>0</v>
      </c>
      <c r="BS88" s="180"/>
      <c r="BT88" s="180"/>
      <c r="BU88" s="180"/>
      <c r="BV88" s="180"/>
      <c r="BW88" s="180"/>
      <c r="BX88" s="180"/>
      <c r="BY88" s="180"/>
      <c r="BZ88" s="180"/>
      <c r="CA88" s="180"/>
      <c r="CB88" s="180"/>
      <c r="CC88" s="180"/>
      <c r="CD88" s="180"/>
      <c r="CE88" s="180"/>
      <c r="CF88" s="180"/>
      <c r="CG88" s="180"/>
      <c r="CH88" s="180"/>
      <c r="CI88" s="180"/>
      <c r="CJ88" s="180"/>
      <c r="CK88" s="180"/>
      <c r="CL88" s="180"/>
      <c r="CM88" s="180"/>
      <c r="CN88" s="180"/>
      <c r="CO88" s="180"/>
      <c r="CP88" s="180"/>
      <c r="CQ88" s="180"/>
      <c r="CR88" s="180"/>
      <c r="CS88" s="180"/>
      <c r="CT88" s="180"/>
      <c r="CU88" s="180"/>
      <c r="CV88" s="180"/>
      <c r="CW88" s="180"/>
      <c r="CX88" s="180"/>
      <c r="CY88" s="180"/>
      <c r="CZ88" s="180"/>
    </row>
    <row r="89" spans="1:104" x14ac:dyDescent="0.45">
      <c r="A89" s="180" t="s">
        <v>80</v>
      </c>
      <c r="B89" s="73">
        <v>2</v>
      </c>
      <c r="C89" s="73"/>
      <c r="D89" s="180" t="s">
        <v>291</v>
      </c>
      <c r="E89" s="39">
        <v>43596</v>
      </c>
      <c r="F89" s="179">
        <v>0.55208333333333337</v>
      </c>
      <c r="G89" s="180">
        <v>2</v>
      </c>
      <c r="H89" s="180"/>
      <c r="I89" s="180"/>
      <c r="J89" s="180"/>
      <c r="K89" s="180"/>
      <c r="L89" s="180"/>
      <c r="M89" s="180"/>
      <c r="N89" s="180"/>
      <c r="O89" s="180"/>
      <c r="P89" s="180"/>
      <c r="AS89" s="180"/>
      <c r="AT89" s="180"/>
      <c r="AU89" s="180"/>
      <c r="AV89" s="180"/>
      <c r="AW89" s="180"/>
      <c r="AX89" s="180"/>
      <c r="AY89" s="180"/>
      <c r="AZ89" s="180"/>
      <c r="BA89" s="180"/>
      <c r="BB89" s="180"/>
      <c r="BC89" s="180"/>
      <c r="BD89" s="180"/>
      <c r="BE89" s="180"/>
      <c r="BF89" s="180"/>
      <c r="BG89" s="180"/>
      <c r="BH89" s="90" t="s">
        <v>15</v>
      </c>
      <c r="BI89" s="86">
        <v>0</v>
      </c>
      <c r="BJ89" s="86">
        <v>0</v>
      </c>
      <c r="BK89" s="86">
        <v>1</v>
      </c>
      <c r="BL89" s="86">
        <v>0</v>
      </c>
      <c r="BM89" s="86">
        <v>7</v>
      </c>
      <c r="BN89" s="86">
        <v>30</v>
      </c>
      <c r="BO89" s="86">
        <v>11</v>
      </c>
      <c r="BP89" s="86">
        <v>0</v>
      </c>
      <c r="BQ89" s="86">
        <v>8</v>
      </c>
      <c r="BR89" s="86">
        <v>57</v>
      </c>
      <c r="BS89" s="180"/>
      <c r="BT89" s="180"/>
      <c r="BU89" s="180"/>
      <c r="BV89" s="180"/>
      <c r="BW89" s="180"/>
      <c r="BX89" s="180"/>
      <c r="BY89" s="180"/>
      <c r="BZ89" s="180"/>
      <c r="CA89" s="180"/>
      <c r="CB89" s="180"/>
      <c r="CC89" s="180"/>
      <c r="CD89" s="180"/>
      <c r="CE89" s="180"/>
      <c r="CF89" s="180"/>
      <c r="CG89" s="180"/>
      <c r="CH89" s="180"/>
      <c r="CI89" s="180"/>
      <c r="CJ89" s="180"/>
      <c r="CK89" s="180"/>
      <c r="CL89" s="180"/>
      <c r="CM89" s="180"/>
      <c r="CN89" s="180"/>
      <c r="CO89" s="180"/>
      <c r="CP89" s="180"/>
      <c r="CQ89" s="180"/>
      <c r="CR89" s="180"/>
      <c r="CS89" s="180"/>
      <c r="CT89" s="180"/>
      <c r="CU89" s="180"/>
      <c r="CV89" s="180"/>
      <c r="CW89" s="180"/>
      <c r="CX89" s="180"/>
      <c r="CY89" s="180"/>
      <c r="CZ89" s="180"/>
    </row>
    <row r="90" spans="1:104" x14ac:dyDescent="0.45">
      <c r="A90" s="180" t="s">
        <v>80</v>
      </c>
      <c r="B90" s="73">
        <v>30</v>
      </c>
      <c r="C90" s="73">
        <v>30</v>
      </c>
      <c r="D90" s="180" t="s">
        <v>288</v>
      </c>
      <c r="E90" s="39">
        <v>43596</v>
      </c>
      <c r="F90" s="179">
        <v>0.39861111111111108</v>
      </c>
      <c r="G90" s="180">
        <v>8</v>
      </c>
      <c r="H90" s="180"/>
      <c r="I90" s="180"/>
      <c r="J90" s="180"/>
      <c r="K90" s="180"/>
      <c r="L90" s="180"/>
      <c r="M90" s="180"/>
      <c r="N90" s="180"/>
      <c r="O90" s="180"/>
      <c r="P90" s="180"/>
      <c r="AS90" s="180"/>
      <c r="AT90" s="180"/>
      <c r="AU90" s="180"/>
      <c r="AV90" s="180"/>
      <c r="AW90" s="180"/>
      <c r="AX90" s="180"/>
      <c r="AY90" s="180"/>
      <c r="AZ90" s="180"/>
      <c r="BA90" s="180"/>
      <c r="BB90" s="180"/>
      <c r="BC90" s="180"/>
      <c r="BD90" s="180"/>
      <c r="BE90" s="180"/>
      <c r="BF90" s="180"/>
      <c r="BG90" s="180"/>
      <c r="BH90" s="90" t="s">
        <v>54</v>
      </c>
      <c r="BI90" s="86">
        <v>0</v>
      </c>
      <c r="BJ90" s="86">
        <v>0</v>
      </c>
      <c r="BK90" s="86">
        <v>0</v>
      </c>
      <c r="BL90" s="86">
        <v>0</v>
      </c>
      <c r="BM90" s="86">
        <v>1</v>
      </c>
      <c r="BN90" s="86">
        <v>36</v>
      </c>
      <c r="BO90" s="86">
        <v>0</v>
      </c>
      <c r="BP90" s="86">
        <v>0</v>
      </c>
      <c r="BQ90" s="86">
        <v>0</v>
      </c>
      <c r="BR90" s="86">
        <v>37</v>
      </c>
      <c r="BS90" s="180"/>
      <c r="BT90" s="180"/>
      <c r="BU90" s="180"/>
      <c r="BV90" s="180"/>
      <c r="BW90" s="180"/>
      <c r="BX90" s="180"/>
      <c r="BY90" s="180"/>
      <c r="BZ90" s="180"/>
      <c r="CA90" s="180"/>
      <c r="CB90" s="180"/>
      <c r="CC90" s="180"/>
      <c r="CD90" s="180"/>
      <c r="CE90" s="180"/>
      <c r="CF90" s="180"/>
      <c r="CG90" s="180"/>
      <c r="CH90" s="180"/>
      <c r="CI90" s="180"/>
      <c r="CJ90" s="180"/>
      <c r="CK90" s="180"/>
      <c r="CL90" s="180"/>
      <c r="CM90" s="180"/>
      <c r="CN90" s="180"/>
      <c r="CO90" s="180"/>
      <c r="CP90" s="180"/>
      <c r="CQ90" s="180"/>
      <c r="CR90" s="180"/>
      <c r="CS90" s="180"/>
      <c r="CT90" s="180"/>
      <c r="CU90" s="180"/>
      <c r="CV90" s="180"/>
      <c r="CW90" s="180"/>
      <c r="CX90" s="180"/>
      <c r="CY90" s="180"/>
      <c r="CZ90" s="180"/>
    </row>
    <row r="91" spans="1:104" x14ac:dyDescent="0.45">
      <c r="A91" s="180" t="s">
        <v>80</v>
      </c>
      <c r="B91" s="73">
        <v>30</v>
      </c>
      <c r="C91" s="73"/>
      <c r="D91" s="180" t="s">
        <v>288</v>
      </c>
      <c r="E91" s="39">
        <v>43596</v>
      </c>
      <c r="F91" s="179">
        <v>0.39861111111111108</v>
      </c>
      <c r="G91" s="180">
        <v>8</v>
      </c>
      <c r="H91" s="180"/>
      <c r="I91" s="180"/>
      <c r="J91" s="180"/>
      <c r="K91" s="180"/>
      <c r="L91" s="180"/>
      <c r="M91" s="180"/>
      <c r="N91" s="180"/>
      <c r="O91" s="180"/>
      <c r="P91" s="180"/>
      <c r="AS91" s="180"/>
      <c r="AT91" s="180"/>
      <c r="AU91" s="180"/>
      <c r="AV91" s="180"/>
      <c r="AW91" s="180"/>
      <c r="AX91" s="180"/>
      <c r="AY91" s="180"/>
      <c r="AZ91" s="180"/>
      <c r="BA91" s="180"/>
      <c r="BB91" s="180"/>
      <c r="BC91" s="180"/>
      <c r="BD91" s="180"/>
      <c r="BE91" s="180"/>
      <c r="BF91" s="180"/>
      <c r="BG91" s="180"/>
      <c r="BH91" s="90" t="s">
        <v>47</v>
      </c>
      <c r="BI91" s="86">
        <v>0</v>
      </c>
      <c r="BJ91" s="86">
        <v>0</v>
      </c>
      <c r="BK91" s="86">
        <v>0</v>
      </c>
      <c r="BL91" s="86">
        <v>0</v>
      </c>
      <c r="BM91" s="86">
        <v>1</v>
      </c>
      <c r="BN91" s="86">
        <v>0</v>
      </c>
      <c r="BO91" s="86">
        <v>5</v>
      </c>
      <c r="BP91" s="86">
        <v>3</v>
      </c>
      <c r="BQ91" s="86">
        <v>5</v>
      </c>
      <c r="BR91" s="86">
        <v>14</v>
      </c>
      <c r="BS91" s="180"/>
      <c r="BT91" s="180"/>
      <c r="BU91" s="180"/>
      <c r="BV91" s="180"/>
      <c r="BW91" s="180"/>
      <c r="BX91" s="180"/>
      <c r="BY91" s="180"/>
      <c r="BZ91" s="180"/>
      <c r="CA91" s="180"/>
      <c r="CB91" s="180"/>
      <c r="CC91" s="180"/>
      <c r="CD91" s="180"/>
      <c r="CE91" s="180"/>
      <c r="CF91" s="180"/>
      <c r="CG91" s="180"/>
      <c r="CH91" s="180"/>
      <c r="CI91" s="180"/>
      <c r="CJ91" s="180"/>
      <c r="CK91" s="180"/>
      <c r="CL91" s="180"/>
      <c r="CM91" s="180"/>
      <c r="CN91" s="180"/>
      <c r="CO91" s="180"/>
      <c r="CP91" s="180"/>
      <c r="CQ91" s="180"/>
      <c r="CR91" s="180"/>
      <c r="CS91" s="180"/>
      <c r="CT91" s="180"/>
      <c r="CU91" s="180"/>
      <c r="CV91" s="180"/>
      <c r="CW91" s="180"/>
      <c r="CX91" s="180"/>
      <c r="CY91" s="180"/>
      <c r="CZ91" s="180"/>
    </row>
    <row r="92" spans="1:104" x14ac:dyDescent="0.45">
      <c r="A92" s="180" t="s">
        <v>80</v>
      </c>
      <c r="B92" s="73">
        <v>10</v>
      </c>
      <c r="C92" s="73"/>
      <c r="D92" s="180" t="s">
        <v>330</v>
      </c>
      <c r="E92" s="39">
        <v>43596</v>
      </c>
      <c r="F92" s="179">
        <v>0.4375</v>
      </c>
      <c r="G92" s="180">
        <v>1</v>
      </c>
      <c r="H92" s="180" t="s">
        <v>331</v>
      </c>
      <c r="I92" s="180"/>
      <c r="J92" s="180"/>
      <c r="K92" s="180"/>
      <c r="L92" s="180"/>
      <c r="M92" s="180"/>
      <c r="N92" s="180"/>
      <c r="O92" s="180"/>
      <c r="P92" s="180"/>
      <c r="AS92" s="180"/>
      <c r="AT92" s="180"/>
      <c r="AU92" s="180"/>
      <c r="AV92" s="180"/>
      <c r="AW92" s="180"/>
      <c r="AX92" s="180"/>
      <c r="AY92" s="180"/>
      <c r="AZ92" s="180"/>
      <c r="BA92" s="180"/>
      <c r="BB92" s="180"/>
      <c r="BC92" s="180"/>
      <c r="BD92" s="180"/>
      <c r="BE92" s="180"/>
      <c r="BF92" s="180"/>
      <c r="BG92" s="180"/>
      <c r="BH92" s="90" t="s">
        <v>16</v>
      </c>
      <c r="BI92" s="86">
        <v>0</v>
      </c>
      <c r="BJ92" s="86">
        <v>0</v>
      </c>
      <c r="BK92" s="86">
        <v>0</v>
      </c>
      <c r="BL92" s="86">
        <v>0</v>
      </c>
      <c r="BM92" s="86">
        <v>0</v>
      </c>
      <c r="BN92" s="86">
        <v>0</v>
      </c>
      <c r="BO92" s="86">
        <v>0</v>
      </c>
      <c r="BP92" s="86">
        <v>0</v>
      </c>
      <c r="BQ92" s="86">
        <v>0</v>
      </c>
      <c r="BR92" s="86">
        <v>0</v>
      </c>
      <c r="BS92" s="180"/>
      <c r="BT92" s="180"/>
      <c r="BU92" s="180"/>
      <c r="BV92" s="180"/>
      <c r="BW92" s="180"/>
      <c r="BX92" s="180"/>
      <c r="BY92" s="180"/>
      <c r="BZ92" s="180"/>
      <c r="CA92" s="180"/>
      <c r="CB92" s="180"/>
      <c r="CC92" s="180"/>
      <c r="CD92" s="180"/>
      <c r="CE92" s="180"/>
      <c r="CF92" s="180"/>
      <c r="CG92" s="180"/>
      <c r="CH92" s="180"/>
      <c r="CI92" s="180"/>
      <c r="CJ92" s="180"/>
      <c r="CK92" s="180"/>
      <c r="CL92" s="180"/>
      <c r="CM92" s="180"/>
      <c r="CN92" s="180"/>
      <c r="CO92" s="180"/>
      <c r="CP92" s="180"/>
      <c r="CQ92" s="180"/>
      <c r="CR92" s="180"/>
      <c r="CS92" s="180"/>
      <c r="CT92" s="180"/>
      <c r="CU92" s="180"/>
      <c r="CV92" s="180"/>
      <c r="CW92" s="180"/>
      <c r="CX92" s="180"/>
      <c r="CY92" s="180"/>
      <c r="CZ92" s="180"/>
    </row>
    <row r="93" spans="1:104" x14ac:dyDescent="0.45">
      <c r="A93" s="180" t="s">
        <v>80</v>
      </c>
      <c r="B93" s="73">
        <v>2</v>
      </c>
      <c r="C93" s="73"/>
      <c r="D93" s="180" t="s">
        <v>330</v>
      </c>
      <c r="E93" s="39">
        <v>43596</v>
      </c>
      <c r="F93" s="179">
        <v>0.35000000000000003</v>
      </c>
      <c r="G93" s="180">
        <v>1</v>
      </c>
      <c r="H93" s="180"/>
      <c r="I93" s="180"/>
      <c r="J93" s="180"/>
      <c r="K93" s="180"/>
      <c r="L93" s="180"/>
      <c r="M93" s="180"/>
      <c r="N93" s="180"/>
      <c r="O93" s="180"/>
      <c r="P93" s="180"/>
      <c r="AS93" s="180"/>
      <c r="AT93" s="180"/>
      <c r="AU93" s="180"/>
      <c r="AV93" s="180"/>
      <c r="AW93" s="180"/>
      <c r="AX93" s="180"/>
      <c r="AY93" s="180"/>
      <c r="AZ93" s="180"/>
      <c r="BA93" s="180"/>
      <c r="BB93" s="180"/>
      <c r="BC93" s="180"/>
      <c r="BD93" s="180"/>
      <c r="BE93" s="180"/>
      <c r="BF93" s="180"/>
      <c r="BG93" s="180"/>
      <c r="BH93" s="90" t="s">
        <v>55</v>
      </c>
      <c r="BI93" s="86">
        <v>0</v>
      </c>
      <c r="BJ93" s="86">
        <v>0</v>
      </c>
      <c r="BK93" s="86">
        <v>0</v>
      </c>
      <c r="BL93" s="86">
        <v>0</v>
      </c>
      <c r="BM93" s="86">
        <v>0</v>
      </c>
      <c r="BN93" s="86">
        <v>0</v>
      </c>
      <c r="BO93" s="86">
        <v>0</v>
      </c>
      <c r="BP93" s="86">
        <v>0</v>
      </c>
      <c r="BQ93" s="86">
        <v>0</v>
      </c>
      <c r="BR93" s="86">
        <v>0</v>
      </c>
      <c r="BS93" s="180"/>
      <c r="BT93" s="180"/>
      <c r="BU93" s="180"/>
      <c r="BV93" s="180"/>
      <c r="BW93" s="180"/>
      <c r="BX93" s="180"/>
      <c r="BY93" s="180"/>
      <c r="BZ93" s="180"/>
      <c r="CA93" s="180"/>
      <c r="CB93" s="180"/>
      <c r="CC93" s="180"/>
      <c r="CD93" s="180"/>
      <c r="CE93" s="180"/>
      <c r="CF93" s="180"/>
      <c r="CG93" s="180"/>
      <c r="CH93" s="180"/>
      <c r="CI93" s="180"/>
      <c r="CJ93" s="180"/>
      <c r="CK93" s="180"/>
      <c r="CL93" s="180"/>
      <c r="CM93" s="180"/>
      <c r="CN93" s="180"/>
      <c r="CO93" s="180"/>
      <c r="CP93" s="180"/>
      <c r="CQ93" s="180"/>
      <c r="CR93" s="180"/>
      <c r="CS93" s="180"/>
      <c r="CT93" s="180"/>
      <c r="CU93" s="180"/>
      <c r="CV93" s="180"/>
      <c r="CW93" s="180"/>
      <c r="CX93" s="180"/>
      <c r="CY93" s="180"/>
      <c r="CZ93" s="180"/>
    </row>
    <row r="94" spans="1:104" x14ac:dyDescent="0.45">
      <c r="A94" s="180" t="s">
        <v>80</v>
      </c>
      <c r="B94" s="73">
        <v>2</v>
      </c>
      <c r="C94" s="73"/>
      <c r="D94" s="180" t="s">
        <v>128</v>
      </c>
      <c r="E94" s="39">
        <v>43597</v>
      </c>
      <c r="F94" s="179">
        <v>0.77430555555555547</v>
      </c>
      <c r="G94" s="180">
        <v>6</v>
      </c>
      <c r="H94" s="180"/>
      <c r="I94" s="180"/>
      <c r="J94" s="180"/>
      <c r="K94" s="180"/>
      <c r="L94" s="180"/>
      <c r="M94" s="180"/>
      <c r="N94" s="180"/>
      <c r="O94" s="180"/>
      <c r="P94" s="180"/>
      <c r="AS94" s="180"/>
      <c r="AT94" s="180"/>
      <c r="AU94" s="180"/>
      <c r="AV94" s="180"/>
      <c r="AW94" s="180"/>
      <c r="AX94" s="180"/>
      <c r="AY94" s="180"/>
      <c r="AZ94" s="180"/>
      <c r="BA94" s="180"/>
      <c r="BB94" s="180"/>
      <c r="BC94" s="180"/>
      <c r="BD94" s="180"/>
      <c r="BE94" s="180"/>
      <c r="BF94" s="180"/>
      <c r="BG94" s="180"/>
      <c r="BH94" s="90" t="s">
        <v>17</v>
      </c>
      <c r="BI94" s="86">
        <v>0</v>
      </c>
      <c r="BJ94" s="86">
        <v>0</v>
      </c>
      <c r="BK94" s="86">
        <v>0</v>
      </c>
      <c r="BL94" s="86">
        <v>100</v>
      </c>
      <c r="BM94" s="86">
        <v>0</v>
      </c>
      <c r="BN94" s="86">
        <v>0</v>
      </c>
      <c r="BO94" s="86">
        <v>2</v>
      </c>
      <c r="BP94" s="86">
        <v>0</v>
      </c>
      <c r="BQ94" s="86">
        <v>0</v>
      </c>
      <c r="BR94" s="86">
        <v>102</v>
      </c>
      <c r="BS94" s="180"/>
      <c r="BT94" s="180"/>
      <c r="BU94" s="180"/>
      <c r="BV94" s="180"/>
      <c r="BW94" s="180"/>
      <c r="BX94" s="180"/>
      <c r="BY94" s="180"/>
      <c r="BZ94" s="180"/>
      <c r="CA94" s="180"/>
      <c r="CB94" s="180"/>
      <c r="CC94" s="180"/>
      <c r="CD94" s="180"/>
      <c r="CE94" s="180"/>
      <c r="CF94" s="180"/>
      <c r="CG94" s="180"/>
      <c r="CH94" s="180"/>
      <c r="CI94" s="180"/>
      <c r="CJ94" s="180"/>
      <c r="CK94" s="180"/>
      <c r="CL94" s="180"/>
      <c r="CM94" s="180"/>
      <c r="CN94" s="180"/>
      <c r="CO94" s="180"/>
      <c r="CP94" s="180"/>
      <c r="CQ94" s="180"/>
      <c r="CR94" s="180"/>
      <c r="CS94" s="180"/>
      <c r="CT94" s="180"/>
      <c r="CU94" s="180"/>
      <c r="CV94" s="180"/>
      <c r="CW94" s="180"/>
      <c r="CX94" s="180"/>
      <c r="CY94" s="180"/>
      <c r="CZ94" s="180"/>
    </row>
    <row r="95" spans="1:104" x14ac:dyDescent="0.45">
      <c r="A95" s="180" t="s">
        <v>80</v>
      </c>
      <c r="B95" s="73">
        <v>1</v>
      </c>
      <c r="C95" s="73">
        <v>1</v>
      </c>
      <c r="D95" s="180" t="s">
        <v>332</v>
      </c>
      <c r="E95" s="39">
        <v>43597</v>
      </c>
      <c r="F95" s="179">
        <v>0.38263888888888892</v>
      </c>
      <c r="G95" s="180">
        <v>1</v>
      </c>
      <c r="H95" s="180" t="s">
        <v>333</v>
      </c>
      <c r="I95" s="180"/>
      <c r="J95" s="180"/>
      <c r="K95" s="180"/>
      <c r="L95" s="180"/>
      <c r="M95" s="180"/>
      <c r="N95" s="180"/>
      <c r="O95" s="180"/>
      <c r="P95" s="180"/>
      <c r="AS95" s="180"/>
      <c r="AT95" s="180"/>
      <c r="AU95" s="180"/>
      <c r="AV95" s="180"/>
      <c r="AW95" s="180"/>
      <c r="AX95" s="180"/>
      <c r="AY95" s="180"/>
      <c r="AZ95" s="180"/>
      <c r="BA95" s="180"/>
      <c r="BB95" s="180"/>
      <c r="BC95" s="180"/>
      <c r="BD95" s="180"/>
      <c r="BE95" s="180"/>
      <c r="BF95" s="180"/>
      <c r="BG95" s="180"/>
      <c r="BH95" s="162" t="s">
        <v>24</v>
      </c>
      <c r="BI95" s="160">
        <v>43</v>
      </c>
      <c r="BJ95" s="160">
        <v>65</v>
      </c>
      <c r="BK95" s="160">
        <v>40</v>
      </c>
      <c r="BL95" s="160">
        <v>211</v>
      </c>
      <c r="BM95" s="160">
        <v>2625</v>
      </c>
      <c r="BN95" s="160">
        <v>3943</v>
      </c>
      <c r="BO95" s="160">
        <v>2931</v>
      </c>
      <c r="BP95" s="160">
        <v>449</v>
      </c>
      <c r="BQ95" s="160">
        <v>106</v>
      </c>
      <c r="BR95" s="160">
        <v>10413</v>
      </c>
      <c r="BS95" s="17"/>
      <c r="BT95" s="180"/>
      <c r="BU95" s="180"/>
      <c r="BV95" s="180"/>
      <c r="BW95" s="180"/>
      <c r="BX95" s="180"/>
      <c r="BY95" s="180"/>
      <c r="BZ95" s="180"/>
      <c r="CA95" s="180"/>
      <c r="CB95" s="180"/>
      <c r="CC95" s="180"/>
      <c r="CD95" s="180"/>
      <c r="CE95" s="180"/>
      <c r="CF95" s="180"/>
      <c r="CG95" s="180"/>
      <c r="CH95" s="180"/>
      <c r="CI95" s="180"/>
      <c r="CJ95" s="180"/>
      <c r="CK95" s="180"/>
      <c r="CL95" s="180"/>
      <c r="CM95" s="180"/>
      <c r="CN95" s="180"/>
      <c r="CO95" s="180"/>
      <c r="CP95" s="180"/>
      <c r="CQ95" s="180"/>
      <c r="CR95" s="180"/>
      <c r="CS95" s="180"/>
      <c r="CT95" s="180"/>
      <c r="CU95" s="180"/>
      <c r="CV95" s="180"/>
      <c r="CW95" s="180"/>
      <c r="CX95" s="180"/>
      <c r="CY95" s="180"/>
      <c r="CZ95" s="180"/>
    </row>
    <row r="96" spans="1:104" x14ac:dyDescent="0.45">
      <c r="A96" s="180" t="s">
        <v>80</v>
      </c>
      <c r="B96" s="73">
        <v>1</v>
      </c>
      <c r="C96" s="73"/>
      <c r="D96" s="180" t="s">
        <v>332</v>
      </c>
      <c r="E96" s="39">
        <v>43597</v>
      </c>
      <c r="F96" s="179">
        <v>0.35138888888888892</v>
      </c>
      <c r="G96" s="180">
        <v>1</v>
      </c>
      <c r="H96" s="180"/>
      <c r="I96" s="180"/>
      <c r="J96" s="180"/>
      <c r="K96" s="180"/>
      <c r="L96" s="180"/>
      <c r="M96" s="180"/>
      <c r="N96" s="180"/>
      <c r="O96" s="180"/>
      <c r="P96" s="180"/>
      <c r="AS96" s="180"/>
      <c r="AT96" s="180"/>
      <c r="AU96" s="180"/>
      <c r="AV96" s="180"/>
      <c r="AW96" s="180"/>
      <c r="AX96" s="180"/>
      <c r="AY96" s="180"/>
      <c r="AZ96" s="180"/>
      <c r="BA96" s="180"/>
      <c r="BB96" s="180"/>
      <c r="BC96" s="180"/>
      <c r="BD96" s="180"/>
      <c r="BE96" s="180"/>
      <c r="BF96" s="180"/>
      <c r="BG96" s="180"/>
      <c r="BH96" s="167" t="s">
        <v>196</v>
      </c>
      <c r="BI96" s="86">
        <f>SUM(BI60:BI78)+BI83+BI84+BI86+BI87+BI88+BI89+BI90+BI91+BI92+BI93+BI94</f>
        <v>43</v>
      </c>
      <c r="BJ96" s="86">
        <f t="shared" ref="BJ96:BR96" si="4">SUM(BJ60:BJ78)+BJ83+BJ84+BJ86+BJ87+BJ88+BJ89+BJ90+BJ91+BJ92+BJ93+BJ94</f>
        <v>65</v>
      </c>
      <c r="BK96" s="86">
        <f t="shared" si="4"/>
        <v>40</v>
      </c>
      <c r="BL96" s="86">
        <f t="shared" si="4"/>
        <v>149</v>
      </c>
      <c r="BM96" s="86">
        <f t="shared" si="4"/>
        <v>771</v>
      </c>
      <c r="BN96" s="86">
        <f t="shared" si="4"/>
        <v>596</v>
      </c>
      <c r="BO96" s="86">
        <f t="shared" si="4"/>
        <v>210</v>
      </c>
      <c r="BP96" s="86">
        <f t="shared" si="4"/>
        <v>182</v>
      </c>
      <c r="BQ96" s="86">
        <f t="shared" si="4"/>
        <v>70</v>
      </c>
      <c r="BR96" s="86">
        <f t="shared" si="4"/>
        <v>2126</v>
      </c>
      <c r="BS96" s="17"/>
      <c r="BT96" s="180"/>
      <c r="BU96" s="180"/>
      <c r="BV96" s="180"/>
      <c r="BW96" s="180"/>
      <c r="BX96" s="180"/>
      <c r="BY96" s="180"/>
      <c r="BZ96" s="180"/>
      <c r="CA96" s="180"/>
      <c r="CB96" s="180"/>
      <c r="CC96" s="180"/>
      <c r="CD96" s="180"/>
      <c r="CE96" s="180"/>
      <c r="CF96" s="180"/>
      <c r="CG96" s="180"/>
      <c r="CH96" s="180"/>
      <c r="CI96" s="180"/>
      <c r="CJ96" s="180"/>
      <c r="CK96" s="180"/>
      <c r="CL96" s="180"/>
      <c r="CM96" s="180"/>
      <c r="CN96" s="180"/>
      <c r="CO96" s="180"/>
      <c r="CP96" s="180"/>
      <c r="CQ96" s="180"/>
      <c r="CR96" s="180"/>
      <c r="CS96" s="180"/>
      <c r="CT96" s="180"/>
      <c r="CU96" s="180"/>
      <c r="CV96" s="180"/>
      <c r="CW96" s="180"/>
      <c r="CX96" s="180"/>
      <c r="CY96" s="180"/>
      <c r="CZ96" s="180"/>
    </row>
    <row r="97" spans="1:104" x14ac:dyDescent="0.45">
      <c r="A97" s="180" t="s">
        <v>80</v>
      </c>
      <c r="B97" s="73">
        <v>2</v>
      </c>
      <c r="C97" s="73">
        <v>2</v>
      </c>
      <c r="D97" s="180" t="s">
        <v>334</v>
      </c>
      <c r="E97" s="39">
        <v>43597</v>
      </c>
      <c r="F97" s="179">
        <v>0.75347222222222221</v>
      </c>
      <c r="G97" s="180">
        <v>3</v>
      </c>
      <c r="H97" s="180" t="s">
        <v>335</v>
      </c>
      <c r="I97" s="180"/>
      <c r="J97" s="180"/>
      <c r="K97" s="180"/>
      <c r="L97" s="180"/>
      <c r="M97" s="180"/>
      <c r="N97" s="180"/>
      <c r="O97" s="180"/>
      <c r="P97" s="180"/>
      <c r="AS97" s="180"/>
      <c r="AT97" s="180"/>
      <c r="AU97" s="180"/>
      <c r="AV97" s="180"/>
      <c r="AW97" s="180"/>
      <c r="AX97" s="180"/>
      <c r="AY97" s="180"/>
      <c r="AZ97" s="180"/>
      <c r="BA97" s="180"/>
      <c r="BB97" s="180"/>
      <c r="BC97" s="180"/>
      <c r="BD97" s="180"/>
      <c r="BE97" s="180"/>
      <c r="BF97" s="180"/>
      <c r="BG97" s="180"/>
      <c r="BH97" s="167" t="s">
        <v>197</v>
      </c>
      <c r="BI97" s="86">
        <f>BI79+BI80+BI81+BI82+BI85</f>
        <v>0</v>
      </c>
      <c r="BJ97" s="86">
        <f t="shared" ref="BJ97:BR97" si="5">BJ79+BJ80+BJ81+BJ82+BJ85</f>
        <v>0</v>
      </c>
      <c r="BK97" s="86">
        <f t="shared" si="5"/>
        <v>0</v>
      </c>
      <c r="BL97" s="86">
        <f t="shared" si="5"/>
        <v>62</v>
      </c>
      <c r="BM97" s="86">
        <f t="shared" si="5"/>
        <v>1854</v>
      </c>
      <c r="BN97" s="86">
        <f t="shared" si="5"/>
        <v>3347</v>
      </c>
      <c r="BO97" s="86">
        <f t="shared" si="5"/>
        <v>2721</v>
      </c>
      <c r="BP97" s="86">
        <f t="shared" si="5"/>
        <v>267</v>
      </c>
      <c r="BQ97" s="86">
        <f t="shared" si="5"/>
        <v>36</v>
      </c>
      <c r="BR97" s="86">
        <f t="shared" si="5"/>
        <v>8287</v>
      </c>
      <c r="BS97" s="17"/>
      <c r="BT97" s="180"/>
      <c r="BU97" s="180"/>
      <c r="BV97" s="180"/>
      <c r="BW97" s="180"/>
      <c r="BX97" s="180"/>
      <c r="BY97" s="180"/>
      <c r="BZ97" s="180"/>
      <c r="CA97" s="180"/>
      <c r="CB97" s="180"/>
      <c r="CC97" s="180"/>
      <c r="CD97" s="180"/>
      <c r="CE97" s="180"/>
      <c r="CF97" s="180"/>
      <c r="CG97" s="180"/>
      <c r="CH97" s="180"/>
      <c r="CI97" s="180"/>
      <c r="CJ97" s="180"/>
      <c r="CK97" s="180"/>
      <c r="CL97" s="180"/>
      <c r="CM97" s="180"/>
      <c r="CN97" s="180"/>
      <c r="CO97" s="180"/>
      <c r="CP97" s="180"/>
      <c r="CQ97" s="180"/>
      <c r="CR97" s="180"/>
      <c r="CS97" s="180"/>
      <c r="CT97" s="180"/>
      <c r="CU97" s="180"/>
      <c r="CV97" s="180"/>
      <c r="CW97" s="180"/>
      <c r="CX97" s="180"/>
      <c r="CY97" s="180"/>
      <c r="CZ97" s="180"/>
    </row>
    <row r="98" spans="1:104" x14ac:dyDescent="0.45">
      <c r="A98" s="180" t="s">
        <v>80</v>
      </c>
      <c r="B98" s="73">
        <v>2</v>
      </c>
      <c r="C98" s="73"/>
      <c r="D98" s="180" t="s">
        <v>334</v>
      </c>
      <c r="E98" s="39">
        <v>43597</v>
      </c>
      <c r="F98" s="179">
        <v>0.75347222222222221</v>
      </c>
      <c r="G98" s="180">
        <v>3</v>
      </c>
      <c r="H98" s="180" t="s">
        <v>335</v>
      </c>
      <c r="I98" s="180"/>
      <c r="J98" s="180"/>
      <c r="K98" s="180"/>
      <c r="L98" s="180"/>
      <c r="M98" s="180"/>
      <c r="N98" s="180"/>
      <c r="O98" s="180"/>
      <c r="P98" s="180"/>
      <c r="AS98" s="180"/>
      <c r="AT98" s="180"/>
      <c r="AU98" s="180"/>
      <c r="AV98" s="180"/>
      <c r="AW98" s="180"/>
      <c r="AX98" s="180"/>
      <c r="AY98" s="180"/>
      <c r="AZ98" s="180"/>
      <c r="BA98" s="180"/>
      <c r="BB98" s="180"/>
      <c r="BC98" s="180"/>
      <c r="BD98" s="180"/>
      <c r="BE98" s="180"/>
      <c r="BF98" s="180"/>
      <c r="BG98" s="180"/>
      <c r="BH98" s="180"/>
      <c r="BI98" s="17"/>
      <c r="BJ98" s="17"/>
      <c r="BK98" s="17"/>
      <c r="BL98" s="17"/>
      <c r="BM98" s="17"/>
      <c r="BN98" s="17"/>
      <c r="BO98" s="17"/>
      <c r="BP98" s="17"/>
      <c r="BQ98" s="17"/>
      <c r="BR98" s="17"/>
      <c r="BS98" s="180"/>
      <c r="BT98" s="180"/>
      <c r="BU98" s="180"/>
      <c r="BV98" s="180"/>
      <c r="BW98" s="180"/>
      <c r="BX98" s="180"/>
      <c r="BY98" s="180"/>
      <c r="BZ98" s="180"/>
      <c r="CA98" s="180"/>
      <c r="CB98" s="180"/>
      <c r="CC98" s="180"/>
      <c r="CD98" s="180"/>
      <c r="CE98" s="180"/>
      <c r="CF98" s="180"/>
      <c r="CG98" s="180"/>
      <c r="CH98" s="180"/>
      <c r="CI98" s="180"/>
      <c r="CJ98" s="180"/>
      <c r="CK98" s="180"/>
      <c r="CL98" s="180"/>
      <c r="CM98" s="180"/>
      <c r="CN98" s="180"/>
      <c r="CO98" s="180"/>
      <c r="CP98" s="180"/>
      <c r="CQ98" s="180"/>
      <c r="CR98" s="180"/>
      <c r="CS98" s="180"/>
      <c r="CT98" s="180"/>
      <c r="CU98" s="180"/>
      <c r="CV98" s="180"/>
      <c r="CW98" s="180"/>
      <c r="CX98" s="180"/>
      <c r="CY98" s="180"/>
      <c r="CZ98" s="180"/>
    </row>
    <row r="99" spans="1:104" x14ac:dyDescent="0.45">
      <c r="A99" s="180" t="s">
        <v>80</v>
      </c>
      <c r="B99" s="73">
        <v>2</v>
      </c>
      <c r="C99" s="73">
        <v>2</v>
      </c>
      <c r="D99" s="180" t="s">
        <v>317</v>
      </c>
      <c r="E99" s="39">
        <v>43598</v>
      </c>
      <c r="F99" s="179">
        <v>0.42569444444444443</v>
      </c>
      <c r="G99" s="180">
        <v>4</v>
      </c>
      <c r="H99" s="180" t="s">
        <v>336</v>
      </c>
      <c r="I99" s="180"/>
      <c r="J99" s="180"/>
      <c r="K99" s="180"/>
      <c r="L99" s="180"/>
      <c r="M99" s="180"/>
      <c r="N99" s="180"/>
      <c r="O99" s="180"/>
      <c r="P99" s="180"/>
      <c r="AS99" s="180"/>
      <c r="AT99" s="180"/>
      <c r="AU99" s="180"/>
      <c r="AV99" s="180"/>
      <c r="AW99" s="180"/>
      <c r="AX99" s="180"/>
      <c r="AY99" s="180"/>
      <c r="AZ99" s="180"/>
      <c r="BA99" s="180"/>
      <c r="BB99" s="180"/>
      <c r="BC99" s="180"/>
      <c r="BD99" s="180"/>
      <c r="BE99" s="180"/>
      <c r="BF99" s="180"/>
      <c r="BG99" s="180"/>
      <c r="BH99" s="180"/>
      <c r="BI99" s="180"/>
      <c r="BJ99" s="180"/>
      <c r="BK99" s="180"/>
      <c r="BL99" s="180"/>
      <c r="BM99" s="180"/>
      <c r="BN99" s="180"/>
      <c r="BO99" s="180"/>
      <c r="BP99" s="180"/>
      <c r="BQ99" s="180"/>
      <c r="BR99" s="180"/>
      <c r="BS99" s="180"/>
      <c r="BT99" s="180"/>
      <c r="BU99" s="180"/>
      <c r="BV99" s="180"/>
      <c r="BW99" s="180"/>
      <c r="BX99" s="180"/>
      <c r="BY99" s="180"/>
      <c r="BZ99" s="180"/>
      <c r="CA99" s="180"/>
      <c r="CB99" s="180"/>
      <c r="CC99" s="180"/>
      <c r="CD99" s="180"/>
      <c r="CE99" s="180"/>
      <c r="CF99" s="180"/>
      <c r="CG99" s="180"/>
      <c r="CH99" s="180"/>
      <c r="CI99" s="180"/>
      <c r="CJ99" s="180"/>
      <c r="CK99" s="180"/>
      <c r="CL99" s="180"/>
      <c r="CM99" s="180"/>
      <c r="CN99" s="180"/>
      <c r="CO99" s="180"/>
      <c r="CP99" s="180"/>
      <c r="CQ99" s="180"/>
      <c r="CR99" s="180"/>
      <c r="CS99" s="180"/>
      <c r="CT99" s="180"/>
      <c r="CU99" s="180"/>
      <c r="CV99" s="180"/>
      <c r="CW99" s="180"/>
      <c r="CX99" s="180"/>
      <c r="CY99" s="180"/>
      <c r="CZ99" s="180"/>
    </row>
    <row r="100" spans="1:104" x14ac:dyDescent="0.45">
      <c r="A100" s="180" t="s">
        <v>80</v>
      </c>
      <c r="B100" s="73">
        <v>2</v>
      </c>
      <c r="C100" s="73"/>
      <c r="D100" s="180" t="s">
        <v>311</v>
      </c>
      <c r="E100" s="39">
        <v>43598</v>
      </c>
      <c r="F100" s="179">
        <v>0.42708333333333331</v>
      </c>
      <c r="G100" s="180">
        <v>8</v>
      </c>
      <c r="H100" s="180" t="s">
        <v>337</v>
      </c>
      <c r="I100" s="180"/>
      <c r="J100" s="180"/>
      <c r="K100" s="180"/>
      <c r="L100" s="180"/>
      <c r="M100" s="180"/>
      <c r="N100" s="180"/>
      <c r="O100" s="180"/>
      <c r="P100" s="180"/>
      <c r="AS100" s="180"/>
      <c r="AT100" s="180"/>
      <c r="AU100" s="180"/>
      <c r="AV100" s="180"/>
      <c r="AW100" s="180"/>
      <c r="AX100" s="180"/>
      <c r="AY100" s="180"/>
      <c r="AZ100" s="180"/>
      <c r="BA100" s="180"/>
      <c r="BB100" s="180"/>
      <c r="BC100" s="180"/>
      <c r="BD100" s="180"/>
      <c r="BE100" s="180"/>
      <c r="BF100" s="180"/>
      <c r="BG100" s="180"/>
      <c r="BH100" s="180"/>
      <c r="BI100" s="180"/>
      <c r="BJ100" s="180"/>
      <c r="BK100" s="180"/>
      <c r="BL100" s="180"/>
      <c r="BM100" s="180"/>
      <c r="BN100" s="180"/>
      <c r="BO100" s="180"/>
      <c r="BP100" s="180"/>
      <c r="BQ100" s="180"/>
      <c r="BR100" s="180"/>
      <c r="BS100" s="180"/>
      <c r="BT100" s="180"/>
      <c r="BU100" s="180"/>
      <c r="BV100" s="180"/>
      <c r="BW100" s="180"/>
      <c r="BX100" s="180"/>
      <c r="BY100" s="180"/>
      <c r="BZ100" s="180"/>
      <c r="CA100" s="180"/>
      <c r="CB100" s="180"/>
      <c r="CC100" s="180"/>
      <c r="CD100" s="180"/>
      <c r="CE100" s="180"/>
      <c r="CF100" s="180"/>
      <c r="CG100" s="180"/>
      <c r="CH100" s="180"/>
      <c r="CI100" s="180"/>
      <c r="CJ100" s="180"/>
      <c r="CK100" s="180"/>
      <c r="CL100" s="180"/>
      <c r="CM100" s="180"/>
      <c r="CN100" s="180"/>
      <c r="CO100" s="180"/>
      <c r="CP100" s="180"/>
      <c r="CQ100" s="180"/>
      <c r="CR100" s="180"/>
      <c r="CS100" s="180"/>
      <c r="CT100" s="180"/>
      <c r="CU100" s="180"/>
      <c r="CV100" s="180"/>
      <c r="CW100" s="180"/>
      <c r="CX100" s="180"/>
      <c r="CY100" s="180"/>
      <c r="CZ100" s="180"/>
    </row>
    <row r="101" spans="1:104" x14ac:dyDescent="0.45">
      <c r="A101" s="180" t="s">
        <v>80</v>
      </c>
      <c r="B101" s="73">
        <v>1</v>
      </c>
      <c r="C101" s="73">
        <v>1</v>
      </c>
      <c r="D101" s="180" t="s">
        <v>338</v>
      </c>
      <c r="E101" s="39">
        <v>43603</v>
      </c>
      <c r="F101" s="179">
        <v>0.70833333333333337</v>
      </c>
      <c r="G101" s="180">
        <v>2</v>
      </c>
      <c r="H101" s="180" t="s">
        <v>339</v>
      </c>
      <c r="I101" s="180"/>
      <c r="J101" s="180"/>
      <c r="K101" s="180"/>
      <c r="L101" s="180"/>
      <c r="M101" s="180"/>
      <c r="N101" s="180"/>
      <c r="O101" s="180"/>
      <c r="P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0"/>
      <c r="BR101" s="180"/>
      <c r="BS101" s="180"/>
      <c r="BT101" s="180"/>
      <c r="BU101" s="180"/>
      <c r="BV101" s="180"/>
      <c r="BW101" s="180"/>
      <c r="BX101" s="180"/>
      <c r="BY101" s="180"/>
      <c r="BZ101" s="180"/>
      <c r="CA101" s="180"/>
      <c r="CB101" s="180"/>
      <c r="CC101" s="180"/>
      <c r="CD101" s="180"/>
      <c r="CE101" s="180"/>
      <c r="CF101" s="180"/>
      <c r="CG101" s="180"/>
      <c r="CH101" s="180"/>
      <c r="CI101" s="180"/>
      <c r="CJ101" s="180"/>
      <c r="CK101" s="180"/>
      <c r="CL101" s="180"/>
      <c r="CM101" s="180"/>
      <c r="CN101" s="180"/>
      <c r="CO101" s="180"/>
      <c r="CP101" s="180"/>
      <c r="CQ101" s="180"/>
      <c r="CR101" s="180"/>
      <c r="CS101" s="180"/>
      <c r="CT101" s="180"/>
      <c r="CU101" s="180"/>
      <c r="CV101" s="180"/>
      <c r="CW101" s="180"/>
      <c r="CX101" s="180"/>
      <c r="CY101" s="180"/>
      <c r="CZ101" s="180"/>
    </row>
    <row r="102" spans="1:104" x14ac:dyDescent="0.45">
      <c r="A102" s="180" t="s">
        <v>80</v>
      </c>
      <c r="B102" s="73">
        <v>1</v>
      </c>
      <c r="C102" s="73"/>
      <c r="D102" s="180" t="s">
        <v>338</v>
      </c>
      <c r="E102" s="39">
        <v>43603</v>
      </c>
      <c r="F102" s="179">
        <v>0.69652777777777775</v>
      </c>
      <c r="G102" s="180">
        <v>1</v>
      </c>
      <c r="H102" s="180"/>
      <c r="I102" s="180"/>
      <c r="J102" s="180"/>
      <c r="K102" s="180"/>
      <c r="L102" s="180"/>
      <c r="M102" s="180"/>
      <c r="N102" s="180"/>
      <c r="O102" s="180"/>
      <c r="P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0"/>
      <c r="BR102" s="180"/>
      <c r="BS102" s="180"/>
      <c r="BT102" s="180"/>
      <c r="BU102" s="180"/>
      <c r="BV102" s="180"/>
      <c r="BW102" s="180"/>
      <c r="BX102" s="180"/>
      <c r="BY102" s="180"/>
      <c r="BZ102" s="180"/>
      <c r="CA102" s="180"/>
      <c r="CB102" s="180"/>
      <c r="CC102" s="180"/>
      <c r="CD102" s="180"/>
      <c r="CE102" s="180"/>
      <c r="CF102" s="180"/>
      <c r="CG102" s="180"/>
      <c r="CH102" s="180"/>
      <c r="CI102" s="180"/>
      <c r="CJ102" s="180"/>
      <c r="CK102" s="180"/>
      <c r="CL102" s="180"/>
      <c r="CM102" s="180"/>
      <c r="CN102" s="180"/>
      <c r="CO102" s="180"/>
      <c r="CP102" s="180"/>
      <c r="CQ102" s="180"/>
      <c r="CR102" s="180"/>
      <c r="CS102" s="180"/>
      <c r="CT102" s="180"/>
      <c r="CU102" s="180"/>
      <c r="CV102" s="180"/>
      <c r="CW102" s="180"/>
      <c r="CX102" s="180"/>
      <c r="CY102" s="180"/>
      <c r="CZ102" s="180"/>
    </row>
    <row r="103" spans="1:104" x14ac:dyDescent="0.45">
      <c r="A103" s="180" t="s">
        <v>80</v>
      </c>
      <c r="B103" s="73">
        <v>1</v>
      </c>
      <c r="C103" s="73"/>
      <c r="D103" s="180" t="s">
        <v>318</v>
      </c>
      <c r="E103" s="39">
        <v>43603</v>
      </c>
      <c r="F103" s="179">
        <v>0.70833333333333337</v>
      </c>
      <c r="G103" s="180">
        <v>2</v>
      </c>
      <c r="H103" s="180" t="s">
        <v>272</v>
      </c>
      <c r="I103" s="180"/>
      <c r="J103" s="180"/>
      <c r="K103" s="180"/>
      <c r="L103" s="180"/>
      <c r="M103" s="180"/>
      <c r="N103" s="180"/>
      <c r="O103" s="180"/>
      <c r="P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0"/>
      <c r="BR103" s="180"/>
      <c r="BS103" s="180"/>
      <c r="BT103" s="180"/>
      <c r="BU103" s="180"/>
      <c r="BV103" s="180"/>
      <c r="BW103" s="180"/>
      <c r="BX103" s="180"/>
      <c r="BY103" s="180"/>
      <c r="BZ103" s="180"/>
      <c r="CA103" s="180"/>
      <c r="CB103" s="180"/>
      <c r="CC103" s="180"/>
      <c r="CD103" s="180"/>
      <c r="CE103" s="180"/>
      <c r="CF103" s="180"/>
      <c r="CG103" s="180"/>
      <c r="CH103" s="180"/>
      <c r="CI103" s="180"/>
      <c r="CJ103" s="180"/>
      <c r="CK103" s="180"/>
      <c r="CL103" s="180"/>
      <c r="CM103" s="180"/>
      <c r="CN103" s="180"/>
      <c r="CO103" s="180"/>
      <c r="CP103" s="180"/>
      <c r="CQ103" s="180"/>
      <c r="CR103" s="180"/>
      <c r="CS103" s="180"/>
      <c r="CT103" s="180"/>
      <c r="CU103" s="180"/>
      <c r="CV103" s="180"/>
      <c r="CW103" s="180"/>
      <c r="CX103" s="180"/>
      <c r="CY103" s="180"/>
      <c r="CZ103" s="180"/>
    </row>
    <row r="104" spans="1:104" x14ac:dyDescent="0.45">
      <c r="A104" s="180" t="s">
        <v>80</v>
      </c>
      <c r="B104" s="73">
        <v>3</v>
      </c>
      <c r="C104" s="73">
        <v>3</v>
      </c>
      <c r="D104" s="180" t="s">
        <v>278</v>
      </c>
      <c r="E104" s="39">
        <v>43603</v>
      </c>
      <c r="F104" s="179">
        <v>0.58333333333333337</v>
      </c>
      <c r="G104" s="180">
        <v>1</v>
      </c>
      <c r="H104" s="180" t="s">
        <v>272</v>
      </c>
      <c r="I104" s="180"/>
      <c r="J104" s="180"/>
      <c r="K104" s="180"/>
      <c r="L104" s="180"/>
      <c r="M104" s="180"/>
      <c r="N104" s="180"/>
      <c r="O104" s="180"/>
      <c r="P104" s="180"/>
      <c r="AS104" s="180"/>
      <c r="AT104" s="180"/>
      <c r="AU104" s="180"/>
      <c r="AV104" s="180"/>
      <c r="AW104" s="180"/>
      <c r="AX104" s="180"/>
      <c r="AY104" s="180"/>
      <c r="AZ104" s="180"/>
      <c r="BA104" s="180"/>
      <c r="BB104" s="180"/>
      <c r="BC104" s="180"/>
      <c r="BD104" s="180"/>
      <c r="BE104" s="180"/>
      <c r="BF104" s="180"/>
      <c r="BG104" s="180"/>
      <c r="BH104" s="180"/>
      <c r="BI104" s="180"/>
      <c r="BJ104" s="180"/>
      <c r="BK104" s="180"/>
      <c r="BL104" s="180"/>
      <c r="BM104" s="180"/>
      <c r="BN104" s="180"/>
      <c r="BO104" s="180"/>
      <c r="BP104" s="180"/>
      <c r="BQ104" s="180"/>
      <c r="BR104" s="180"/>
      <c r="BS104" s="180"/>
      <c r="BT104" s="180"/>
      <c r="BU104" s="180"/>
      <c r="BV104" s="180"/>
      <c r="BW104" s="180"/>
      <c r="BX104" s="180"/>
      <c r="BY104" s="180"/>
      <c r="BZ104" s="180"/>
      <c r="CA104" s="180"/>
      <c r="CB104" s="180"/>
      <c r="CC104" s="180"/>
      <c r="CD104" s="180"/>
      <c r="CE104" s="180"/>
      <c r="CF104" s="180"/>
      <c r="CG104" s="180"/>
      <c r="CH104" s="180"/>
      <c r="CI104" s="180"/>
      <c r="CJ104" s="180"/>
      <c r="CK104" s="180"/>
      <c r="CL104" s="180"/>
      <c r="CM104" s="180"/>
      <c r="CN104" s="180"/>
      <c r="CO104" s="180"/>
      <c r="CP104" s="180"/>
      <c r="CQ104" s="180"/>
      <c r="CR104" s="180"/>
      <c r="CS104" s="180"/>
      <c r="CT104" s="180"/>
      <c r="CU104" s="180"/>
      <c r="CV104" s="180"/>
      <c r="CW104" s="180"/>
      <c r="CX104" s="180"/>
      <c r="CY104" s="180"/>
      <c r="CZ104" s="180"/>
    </row>
    <row r="105" spans="1:104" x14ac:dyDescent="0.45">
      <c r="A105" s="1" t="s">
        <v>273</v>
      </c>
      <c r="B105" s="73"/>
      <c r="C105" s="73">
        <f>SUM(C54:C104)</f>
        <v>113</v>
      </c>
      <c r="D105" s="180"/>
      <c r="E105" s="39"/>
      <c r="F105" s="179"/>
      <c r="G105" s="180"/>
      <c r="H105" s="180"/>
      <c r="I105" s="180"/>
      <c r="J105" s="180"/>
      <c r="K105" s="180"/>
      <c r="L105" s="180"/>
      <c r="M105" s="180"/>
      <c r="N105" s="180"/>
      <c r="O105" s="180"/>
      <c r="P105" s="180"/>
      <c r="AS105" s="180"/>
      <c r="AT105" s="180"/>
      <c r="AU105" s="180"/>
      <c r="AV105" s="180"/>
      <c r="AW105" s="180"/>
      <c r="AX105" s="180"/>
      <c r="AY105" s="180"/>
      <c r="AZ105" s="180"/>
      <c r="BA105" s="180"/>
      <c r="BB105" s="180"/>
      <c r="BC105" s="180"/>
      <c r="BD105" s="180"/>
      <c r="BE105" s="180"/>
      <c r="BF105" s="180"/>
      <c r="BG105" s="180"/>
      <c r="BH105" s="180"/>
      <c r="BI105" s="180"/>
      <c r="BJ105" s="180"/>
      <c r="BK105" s="180"/>
      <c r="BL105" s="180"/>
      <c r="BM105" s="180"/>
      <c r="BN105" s="180"/>
      <c r="BO105" s="180"/>
      <c r="BP105" s="180"/>
      <c r="BQ105" s="180"/>
      <c r="BR105" s="180"/>
      <c r="BS105" s="180"/>
      <c r="BT105" s="180"/>
      <c r="BU105" s="180"/>
      <c r="BV105" s="180"/>
      <c r="BW105" s="180"/>
      <c r="BX105" s="180"/>
      <c r="BY105" s="180"/>
      <c r="BZ105" s="180"/>
      <c r="CA105" s="180"/>
      <c r="CB105" s="180"/>
      <c r="CC105" s="180"/>
      <c r="CD105" s="180"/>
      <c r="CE105" s="180"/>
      <c r="CF105" s="180"/>
      <c r="CG105" s="180"/>
      <c r="CH105" s="180"/>
      <c r="CI105" s="180"/>
      <c r="CJ105" s="180"/>
      <c r="CK105" s="180"/>
      <c r="CL105" s="180"/>
      <c r="CM105" s="180"/>
      <c r="CN105" s="180"/>
      <c r="CO105" s="180"/>
      <c r="CP105" s="180"/>
      <c r="CQ105" s="180"/>
      <c r="CR105" s="180"/>
      <c r="CS105" s="180"/>
      <c r="CT105" s="180"/>
      <c r="CU105" s="180"/>
      <c r="CV105" s="180"/>
      <c r="CW105" s="180"/>
      <c r="CX105" s="180"/>
      <c r="CY105" s="180"/>
      <c r="CZ105" s="180"/>
    </row>
    <row r="106" spans="1:104" x14ac:dyDescent="0.45">
      <c r="A106" s="1"/>
      <c r="B106" s="73"/>
      <c r="C106" s="73"/>
      <c r="D106" s="180"/>
      <c r="E106" s="39"/>
      <c r="F106" s="179"/>
      <c r="G106" s="180"/>
      <c r="H106" s="180"/>
      <c r="I106" s="180"/>
      <c r="J106" s="180"/>
      <c r="K106" s="180"/>
      <c r="L106" s="180"/>
      <c r="M106" s="180"/>
      <c r="N106" s="180"/>
      <c r="O106" s="180"/>
      <c r="P106" s="180"/>
      <c r="AS106" s="180"/>
      <c r="AT106" s="180"/>
      <c r="AU106" s="180"/>
      <c r="AV106" s="180"/>
      <c r="AW106" s="180"/>
      <c r="AX106" s="180"/>
      <c r="AY106" s="180"/>
      <c r="AZ106" s="180"/>
      <c r="BA106" s="180"/>
      <c r="BB106" s="180"/>
      <c r="BC106" s="180"/>
      <c r="BD106" s="180"/>
      <c r="BE106" s="180"/>
      <c r="BF106" s="180"/>
      <c r="BG106" s="180"/>
      <c r="BH106" s="180"/>
      <c r="BI106" s="180"/>
      <c r="BJ106" s="180"/>
      <c r="BK106" s="180"/>
      <c r="BL106" s="180"/>
      <c r="BM106" s="180"/>
      <c r="BN106" s="180"/>
      <c r="BO106" s="180"/>
      <c r="BP106" s="180"/>
      <c r="BQ106" s="180"/>
      <c r="BR106" s="180"/>
      <c r="BS106" s="180"/>
      <c r="BT106" s="180"/>
      <c r="BU106" s="180"/>
      <c r="BV106" s="180"/>
      <c r="BW106" s="180"/>
      <c r="BX106" s="180"/>
      <c r="BY106" s="180"/>
      <c r="BZ106" s="180"/>
      <c r="CA106" s="180"/>
      <c r="CB106" s="180"/>
      <c r="CC106" s="180"/>
      <c r="CD106" s="180"/>
      <c r="CE106" s="180"/>
      <c r="CF106" s="180"/>
      <c r="CG106" s="180"/>
      <c r="CH106" s="180"/>
      <c r="CI106" s="180"/>
      <c r="CJ106" s="180"/>
      <c r="CK106" s="180"/>
      <c r="CL106" s="180"/>
      <c r="CM106" s="180"/>
      <c r="CN106" s="180"/>
      <c r="CO106" s="180"/>
      <c r="CP106" s="180"/>
      <c r="CQ106" s="180"/>
      <c r="CR106" s="180"/>
      <c r="CS106" s="180"/>
      <c r="CT106" s="180"/>
      <c r="CU106" s="180"/>
      <c r="CV106" s="180"/>
      <c r="CW106" s="180"/>
      <c r="CX106" s="180"/>
      <c r="CY106" s="180"/>
      <c r="CZ106" s="180"/>
    </row>
    <row r="107" spans="1:104" x14ac:dyDescent="0.45">
      <c r="A107" s="180" t="s">
        <v>2</v>
      </c>
      <c r="B107" s="73">
        <v>1</v>
      </c>
      <c r="C107" s="73"/>
      <c r="D107" s="180" t="s">
        <v>128</v>
      </c>
      <c r="E107" s="39">
        <v>43568</v>
      </c>
      <c r="F107" s="179">
        <v>0.37847222222222227</v>
      </c>
      <c r="G107" s="180">
        <v>3</v>
      </c>
      <c r="H107" s="180" t="s">
        <v>340</v>
      </c>
      <c r="I107" s="180"/>
      <c r="J107" s="180"/>
      <c r="K107" s="180"/>
      <c r="L107" s="180"/>
      <c r="M107" s="180"/>
      <c r="N107" s="180"/>
      <c r="O107" s="180"/>
      <c r="P107" s="180"/>
      <c r="AS107" s="180"/>
      <c r="AT107" s="180"/>
      <c r="AU107" s="180"/>
      <c r="AV107" s="180"/>
      <c r="AW107" s="180"/>
      <c r="AX107" s="180"/>
      <c r="AY107" s="180"/>
      <c r="AZ107" s="180"/>
      <c r="BA107" s="180"/>
      <c r="BB107" s="180"/>
      <c r="BC107" s="180"/>
      <c r="BD107" s="180"/>
      <c r="BE107" s="180"/>
      <c r="BF107" s="180"/>
      <c r="BG107" s="180"/>
      <c r="BH107" s="180"/>
      <c r="BI107" s="180"/>
      <c r="BJ107" s="180"/>
      <c r="BK107" s="180"/>
      <c r="BL107" s="180"/>
      <c r="BM107" s="180"/>
      <c r="BN107" s="180"/>
      <c r="BO107" s="180"/>
      <c r="BP107" s="180"/>
      <c r="BQ107" s="180"/>
      <c r="BR107" s="180"/>
      <c r="BS107" s="180"/>
      <c r="BT107" s="180"/>
      <c r="BU107" s="180"/>
      <c r="BV107" s="180"/>
      <c r="BW107" s="180"/>
      <c r="BX107" s="180"/>
      <c r="BY107" s="180"/>
      <c r="BZ107" s="180"/>
      <c r="CA107" s="180"/>
      <c r="CB107" s="180"/>
      <c r="CC107" s="180"/>
      <c r="CD107" s="180"/>
      <c r="CE107" s="180"/>
      <c r="CF107" s="180"/>
      <c r="CG107" s="180"/>
      <c r="CH107" s="180"/>
      <c r="CI107" s="180"/>
      <c r="CJ107" s="180"/>
      <c r="CK107" s="180"/>
      <c r="CL107" s="180"/>
      <c r="CM107" s="180"/>
      <c r="CN107" s="180"/>
      <c r="CO107" s="180"/>
      <c r="CP107" s="180"/>
      <c r="CQ107" s="180"/>
      <c r="CR107" s="180"/>
      <c r="CS107" s="180"/>
      <c r="CT107" s="180"/>
      <c r="CU107" s="180"/>
      <c r="CV107" s="180"/>
      <c r="CW107" s="180"/>
      <c r="CX107" s="180"/>
      <c r="CY107" s="180"/>
      <c r="CZ107" s="180"/>
    </row>
    <row r="108" spans="1:104" x14ac:dyDescent="0.45">
      <c r="A108" s="180" t="s">
        <v>2</v>
      </c>
      <c r="B108" s="73">
        <v>1</v>
      </c>
      <c r="C108" s="73">
        <v>1</v>
      </c>
      <c r="D108" s="180" t="s">
        <v>311</v>
      </c>
      <c r="E108" s="39">
        <v>43568</v>
      </c>
      <c r="F108" s="179">
        <v>0.375</v>
      </c>
      <c r="G108" s="180">
        <v>7</v>
      </c>
      <c r="H108" s="180" t="s">
        <v>341</v>
      </c>
      <c r="I108" s="180"/>
      <c r="J108" s="180"/>
      <c r="K108" s="180"/>
      <c r="L108" s="180"/>
      <c r="M108" s="180"/>
      <c r="N108" s="180"/>
      <c r="O108" s="180"/>
      <c r="P108" s="180"/>
      <c r="AS108" s="180"/>
      <c r="AT108" s="180"/>
      <c r="AU108" s="180"/>
      <c r="AV108" s="180"/>
      <c r="AW108" s="180"/>
      <c r="AX108" s="180"/>
      <c r="AY108" s="180"/>
      <c r="AZ108" s="180"/>
      <c r="BA108" s="180"/>
      <c r="BB108" s="180"/>
      <c r="BC108" s="180"/>
      <c r="BD108" s="180"/>
      <c r="BE108" s="180"/>
      <c r="BF108" s="180"/>
      <c r="BG108" s="180"/>
      <c r="BH108" s="180"/>
      <c r="BI108" s="180"/>
      <c r="BJ108" s="180"/>
      <c r="BK108" s="180"/>
      <c r="BL108" s="180"/>
      <c r="BM108" s="180"/>
      <c r="BN108" s="180"/>
      <c r="BO108" s="180"/>
      <c r="BP108" s="180"/>
      <c r="BQ108" s="180"/>
      <c r="BR108" s="180"/>
      <c r="BS108" s="180"/>
      <c r="BT108" s="180"/>
      <c r="BU108" s="180"/>
      <c r="BV108" s="180"/>
      <c r="BW108" s="180"/>
      <c r="BX108" s="180"/>
      <c r="BY108" s="180"/>
      <c r="BZ108" s="180"/>
      <c r="CA108" s="180"/>
      <c r="CB108" s="180"/>
      <c r="CC108" s="180"/>
      <c r="CD108" s="180"/>
      <c r="CE108" s="180"/>
      <c r="CF108" s="180"/>
      <c r="CG108" s="180"/>
      <c r="CH108" s="180"/>
      <c r="CI108" s="180"/>
      <c r="CJ108" s="180"/>
      <c r="CK108" s="180"/>
      <c r="CL108" s="180"/>
      <c r="CM108" s="180"/>
      <c r="CN108" s="180"/>
      <c r="CO108" s="180"/>
      <c r="CP108" s="180"/>
      <c r="CQ108" s="180"/>
      <c r="CR108" s="180"/>
      <c r="CS108" s="180"/>
      <c r="CT108" s="180"/>
      <c r="CU108" s="180"/>
      <c r="CV108" s="180"/>
      <c r="CW108" s="180"/>
      <c r="CX108" s="180"/>
      <c r="CY108" s="180"/>
      <c r="CZ108" s="180"/>
    </row>
    <row r="109" spans="1:104" x14ac:dyDescent="0.45">
      <c r="A109" s="180" t="s">
        <v>2</v>
      </c>
      <c r="B109" s="73">
        <v>25</v>
      </c>
      <c r="C109" s="73">
        <v>25</v>
      </c>
      <c r="D109" s="180" t="s">
        <v>128</v>
      </c>
      <c r="E109" s="39">
        <v>43573</v>
      </c>
      <c r="F109" s="179">
        <v>0.70000000000000007</v>
      </c>
      <c r="G109" s="180">
        <v>6</v>
      </c>
      <c r="H109" s="180" t="s">
        <v>342</v>
      </c>
      <c r="I109" s="180"/>
      <c r="J109" s="180"/>
      <c r="K109" s="180"/>
      <c r="L109" s="180"/>
      <c r="M109" s="180"/>
      <c r="N109" s="180"/>
      <c r="O109" s="180"/>
      <c r="P109" s="180"/>
      <c r="AS109" s="180"/>
      <c r="AT109" s="180"/>
      <c r="AU109" s="180"/>
      <c r="AV109" s="180"/>
      <c r="AW109" s="180"/>
      <c r="AX109" s="180"/>
      <c r="AY109" s="180"/>
      <c r="AZ109" s="180"/>
      <c r="BA109" s="180"/>
      <c r="BB109" s="180"/>
      <c r="BC109" s="180"/>
      <c r="BD109" s="180"/>
      <c r="BE109" s="180"/>
      <c r="BF109" s="180"/>
      <c r="BG109" s="180"/>
      <c r="BH109" s="180"/>
      <c r="BI109" s="180"/>
      <c r="BJ109" s="180"/>
      <c r="BK109" s="180"/>
      <c r="BL109" s="180"/>
      <c r="BM109" s="180"/>
      <c r="BN109" s="180"/>
      <c r="BO109" s="180"/>
      <c r="BP109" s="180"/>
      <c r="BQ109" s="180"/>
      <c r="BR109" s="180"/>
      <c r="BS109" s="180"/>
      <c r="BT109" s="180"/>
      <c r="BU109" s="180"/>
      <c r="BV109" s="180"/>
      <c r="BW109" s="180"/>
      <c r="BX109" s="180"/>
      <c r="BY109" s="180"/>
      <c r="BZ109" s="180"/>
      <c r="CA109" s="180"/>
      <c r="CB109" s="180"/>
      <c r="CC109" s="180"/>
      <c r="CD109" s="180"/>
      <c r="CE109" s="180"/>
      <c r="CF109" s="180"/>
      <c r="CG109" s="180"/>
      <c r="CH109" s="180"/>
      <c r="CI109" s="180"/>
      <c r="CJ109" s="180"/>
      <c r="CK109" s="180"/>
      <c r="CL109" s="180"/>
      <c r="CM109" s="180"/>
      <c r="CN109" s="180"/>
      <c r="CO109" s="180"/>
      <c r="CP109" s="180"/>
      <c r="CQ109" s="180"/>
      <c r="CR109" s="180"/>
      <c r="CS109" s="180"/>
      <c r="CT109" s="180"/>
      <c r="CU109" s="180"/>
      <c r="CV109" s="180"/>
      <c r="CW109" s="180"/>
      <c r="CX109" s="180"/>
      <c r="CY109" s="180"/>
      <c r="CZ109" s="180"/>
    </row>
    <row r="110" spans="1:104" x14ac:dyDescent="0.45">
      <c r="A110" s="180" t="s">
        <v>2</v>
      </c>
      <c r="B110" s="73">
        <v>25</v>
      </c>
      <c r="C110" s="73"/>
      <c r="D110" s="180" t="s">
        <v>317</v>
      </c>
      <c r="E110" s="39">
        <v>43573</v>
      </c>
      <c r="F110" s="179">
        <v>0.70000000000000007</v>
      </c>
      <c r="G110" s="180">
        <v>4</v>
      </c>
      <c r="H110" s="180"/>
      <c r="I110" s="180"/>
      <c r="J110" s="180"/>
      <c r="K110" s="180"/>
      <c r="L110" s="180"/>
      <c r="M110" s="180"/>
      <c r="N110" s="180"/>
      <c r="O110" s="180"/>
      <c r="P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0"/>
      <c r="BR110" s="180"/>
      <c r="BS110" s="180"/>
      <c r="BT110" s="180"/>
      <c r="BU110" s="180"/>
      <c r="BV110" s="180"/>
      <c r="BW110" s="180"/>
      <c r="BX110" s="180"/>
      <c r="BY110" s="180"/>
      <c r="BZ110" s="180"/>
      <c r="CA110" s="180"/>
      <c r="CB110" s="180"/>
      <c r="CC110" s="180"/>
      <c r="CD110" s="180"/>
      <c r="CE110" s="180"/>
      <c r="CF110" s="180"/>
      <c r="CG110" s="180"/>
      <c r="CH110" s="180"/>
      <c r="CI110" s="180"/>
      <c r="CJ110" s="180"/>
      <c r="CK110" s="180"/>
      <c r="CL110" s="180"/>
      <c r="CM110" s="180"/>
      <c r="CN110" s="180"/>
      <c r="CO110" s="180"/>
      <c r="CP110" s="180"/>
      <c r="CQ110" s="180"/>
      <c r="CR110" s="180"/>
      <c r="CS110" s="180"/>
      <c r="CT110" s="180"/>
      <c r="CU110" s="180"/>
      <c r="CV110" s="180"/>
      <c r="CW110" s="180"/>
      <c r="CX110" s="180"/>
      <c r="CY110" s="180"/>
      <c r="CZ110" s="180"/>
    </row>
    <row r="111" spans="1:104" x14ac:dyDescent="0.45">
      <c r="A111" s="180" t="s">
        <v>2</v>
      </c>
      <c r="B111" s="73">
        <v>25</v>
      </c>
      <c r="C111" s="73"/>
      <c r="D111" s="180" t="s">
        <v>311</v>
      </c>
      <c r="E111" s="39">
        <v>43573</v>
      </c>
      <c r="F111" s="179">
        <v>0.69791666666666663</v>
      </c>
      <c r="G111" s="180">
        <v>7</v>
      </c>
      <c r="H111" s="180" t="s">
        <v>343</v>
      </c>
      <c r="I111" s="180"/>
      <c r="J111" s="180"/>
      <c r="K111" s="180"/>
      <c r="L111" s="180"/>
      <c r="M111" s="180"/>
      <c r="N111" s="180"/>
      <c r="O111" s="180"/>
      <c r="P111" s="180"/>
      <c r="AS111" s="180"/>
      <c r="AT111" s="180"/>
      <c r="AU111" s="180"/>
      <c r="AV111" s="180"/>
      <c r="AW111" s="180"/>
      <c r="AX111" s="180"/>
      <c r="AY111" s="180"/>
      <c r="AZ111" s="180"/>
      <c r="BA111" s="180"/>
      <c r="BB111" s="180"/>
      <c r="BC111" s="180"/>
      <c r="BD111" s="180"/>
      <c r="BE111" s="180"/>
      <c r="BF111" s="180"/>
      <c r="BG111" s="180"/>
      <c r="BH111" s="180"/>
      <c r="BI111" s="180"/>
      <c r="BJ111" s="180"/>
      <c r="BK111" s="180"/>
      <c r="BL111" s="180"/>
      <c r="BM111" s="180"/>
      <c r="BN111" s="180"/>
      <c r="BO111" s="180"/>
      <c r="BP111" s="180"/>
      <c r="BQ111" s="180"/>
      <c r="BR111" s="180"/>
      <c r="BS111" s="180"/>
      <c r="BT111" s="180"/>
      <c r="BU111" s="180"/>
      <c r="BV111" s="180"/>
      <c r="BW111" s="180"/>
      <c r="BX111" s="180"/>
      <c r="BY111" s="180"/>
      <c r="BZ111" s="180"/>
      <c r="CA111" s="180"/>
      <c r="CB111" s="180"/>
      <c r="CC111" s="180"/>
      <c r="CD111" s="180"/>
      <c r="CE111" s="180"/>
      <c r="CF111" s="180"/>
      <c r="CG111" s="180"/>
      <c r="CH111" s="180"/>
      <c r="CI111" s="180"/>
      <c r="CJ111" s="180"/>
      <c r="CK111" s="180"/>
      <c r="CL111" s="180"/>
      <c r="CM111" s="180"/>
      <c r="CN111" s="180"/>
      <c r="CO111" s="180"/>
      <c r="CP111" s="180"/>
      <c r="CQ111" s="180"/>
      <c r="CR111" s="180"/>
      <c r="CS111" s="180"/>
      <c r="CT111" s="180"/>
      <c r="CU111" s="180"/>
      <c r="CV111" s="180"/>
      <c r="CW111" s="180"/>
      <c r="CX111" s="180"/>
      <c r="CY111" s="180"/>
      <c r="CZ111" s="180"/>
    </row>
    <row r="112" spans="1:104" x14ac:dyDescent="0.45">
      <c r="A112" s="180" t="s">
        <v>2</v>
      </c>
      <c r="B112" s="73">
        <v>26</v>
      </c>
      <c r="C112" s="73">
        <v>26</v>
      </c>
      <c r="D112" s="180" t="s">
        <v>128</v>
      </c>
      <c r="E112" s="39">
        <v>43574</v>
      </c>
      <c r="F112" s="179">
        <v>0.48888888888888887</v>
      </c>
      <c r="G112" s="180">
        <v>2</v>
      </c>
      <c r="H112" s="180"/>
      <c r="I112" s="180"/>
      <c r="J112" s="180"/>
      <c r="K112" s="180"/>
      <c r="L112" s="180"/>
      <c r="M112" s="180"/>
      <c r="N112" s="180"/>
      <c r="O112" s="180"/>
      <c r="P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row>
    <row r="113" spans="1:104" x14ac:dyDescent="0.45">
      <c r="A113" s="180" t="s">
        <v>2</v>
      </c>
      <c r="B113" s="73">
        <v>3</v>
      </c>
      <c r="C113" s="73">
        <v>3</v>
      </c>
      <c r="D113" s="180" t="s">
        <v>344</v>
      </c>
      <c r="E113" s="39">
        <v>43577</v>
      </c>
      <c r="F113" s="179">
        <v>0.34027777777777773</v>
      </c>
      <c r="G113" s="180">
        <v>1</v>
      </c>
      <c r="H113" s="180"/>
      <c r="I113" s="180"/>
      <c r="J113" s="180"/>
      <c r="K113" s="180"/>
      <c r="L113" s="180"/>
      <c r="M113" s="180"/>
      <c r="N113" s="180"/>
      <c r="O113" s="180"/>
      <c r="P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0"/>
      <c r="CB113" s="180"/>
      <c r="CC113" s="180"/>
      <c r="CD113" s="180"/>
      <c r="CE113" s="180"/>
      <c r="CF113" s="180"/>
      <c r="CG113" s="180"/>
      <c r="CH113" s="180"/>
      <c r="CI113" s="180"/>
      <c r="CJ113" s="180"/>
      <c r="CK113" s="180"/>
      <c r="CL113" s="180"/>
      <c r="CM113" s="180"/>
      <c r="CN113" s="180"/>
      <c r="CO113" s="180"/>
      <c r="CP113" s="180"/>
      <c r="CQ113" s="180"/>
      <c r="CR113" s="180"/>
      <c r="CS113" s="180"/>
      <c r="CT113" s="180"/>
      <c r="CU113" s="180"/>
      <c r="CV113" s="180"/>
      <c r="CW113" s="180"/>
      <c r="CX113" s="180"/>
      <c r="CY113" s="180"/>
      <c r="CZ113" s="180"/>
    </row>
    <row r="114" spans="1:104" x14ac:dyDescent="0.45">
      <c r="A114" s="180" t="s">
        <v>2</v>
      </c>
      <c r="B114" s="73">
        <v>20</v>
      </c>
      <c r="C114" s="73"/>
      <c r="D114" s="180" t="s">
        <v>317</v>
      </c>
      <c r="E114" s="39">
        <v>43578</v>
      </c>
      <c r="F114" s="179">
        <v>0.81874999999999998</v>
      </c>
      <c r="G114" s="180">
        <v>5</v>
      </c>
      <c r="H114" s="180"/>
      <c r="I114" s="180" t="s">
        <v>345</v>
      </c>
      <c r="J114" s="180"/>
      <c r="K114" s="180"/>
      <c r="L114" s="180"/>
      <c r="M114" s="180"/>
      <c r="N114" s="180"/>
      <c r="O114" s="180"/>
      <c r="P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0"/>
      <c r="CN114" s="180"/>
      <c r="CO114" s="180"/>
      <c r="CP114" s="180"/>
      <c r="CQ114" s="180"/>
      <c r="CR114" s="180"/>
      <c r="CS114" s="180"/>
      <c r="CT114" s="180"/>
      <c r="CU114" s="180"/>
      <c r="CV114" s="180"/>
      <c r="CW114" s="180"/>
      <c r="CX114" s="180"/>
      <c r="CY114" s="180"/>
      <c r="CZ114" s="180"/>
    </row>
    <row r="115" spans="1:104" x14ac:dyDescent="0.45">
      <c r="A115" s="180" t="s">
        <v>2</v>
      </c>
      <c r="B115" s="73">
        <v>20</v>
      </c>
      <c r="C115" s="73">
        <v>20</v>
      </c>
      <c r="D115" s="180" t="s">
        <v>311</v>
      </c>
      <c r="E115" s="39">
        <v>43578</v>
      </c>
      <c r="F115" s="179">
        <v>0.8125</v>
      </c>
      <c r="G115" s="180">
        <v>9</v>
      </c>
      <c r="H115" s="180" t="s">
        <v>346</v>
      </c>
      <c r="I115" s="180" t="s">
        <v>347</v>
      </c>
      <c r="J115" s="180"/>
      <c r="K115" s="180"/>
      <c r="L115" s="180"/>
      <c r="M115" s="180"/>
      <c r="N115" s="180"/>
      <c r="O115" s="180"/>
      <c r="P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0"/>
      <c r="BR115" s="180"/>
      <c r="BS115" s="180"/>
      <c r="BT115" s="180"/>
      <c r="BU115" s="180"/>
      <c r="BV115" s="180"/>
      <c r="BW115" s="180"/>
      <c r="BX115" s="180"/>
      <c r="BY115" s="180"/>
      <c r="BZ115" s="180"/>
      <c r="CA115" s="180"/>
      <c r="CB115" s="180"/>
      <c r="CC115" s="180"/>
      <c r="CD115" s="180"/>
      <c r="CE115" s="180"/>
      <c r="CF115" s="180"/>
      <c r="CG115" s="180"/>
      <c r="CH115" s="180"/>
      <c r="CI115" s="180"/>
      <c r="CJ115" s="180"/>
      <c r="CK115" s="180"/>
      <c r="CL115" s="180"/>
      <c r="CM115" s="180"/>
      <c r="CN115" s="180"/>
      <c r="CO115" s="180"/>
      <c r="CP115" s="180"/>
      <c r="CQ115" s="180"/>
      <c r="CR115" s="180"/>
      <c r="CS115" s="180"/>
      <c r="CT115" s="180"/>
      <c r="CU115" s="180"/>
      <c r="CV115" s="180"/>
      <c r="CW115" s="180"/>
      <c r="CX115" s="180"/>
      <c r="CY115" s="180"/>
      <c r="CZ115" s="180"/>
    </row>
    <row r="116" spans="1:104" x14ac:dyDescent="0.45">
      <c r="A116" s="180" t="s">
        <v>2</v>
      </c>
      <c r="B116" s="73">
        <v>1</v>
      </c>
      <c r="C116" s="73">
        <v>1</v>
      </c>
      <c r="D116" s="180" t="s">
        <v>309</v>
      </c>
      <c r="E116" s="39">
        <v>43578</v>
      </c>
      <c r="F116" s="179">
        <v>0.8125</v>
      </c>
      <c r="G116" s="180">
        <v>5</v>
      </c>
      <c r="H116" s="180" t="s">
        <v>348</v>
      </c>
      <c r="I116" s="180"/>
      <c r="J116" s="180"/>
      <c r="K116" s="180"/>
      <c r="L116" s="180"/>
      <c r="M116" s="180"/>
      <c r="N116" s="180"/>
      <c r="O116" s="180"/>
      <c r="P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0"/>
      <c r="BR116" s="180"/>
      <c r="BS116" s="180"/>
      <c r="BT116" s="180"/>
      <c r="BU116" s="180"/>
      <c r="BV116" s="180"/>
      <c r="BW116" s="180"/>
      <c r="BX116" s="180"/>
      <c r="BY116" s="180"/>
      <c r="BZ116" s="180"/>
      <c r="CA116" s="180"/>
      <c r="CB116" s="180"/>
      <c r="CC116" s="180"/>
      <c r="CD116" s="180"/>
      <c r="CE116" s="180"/>
      <c r="CF116" s="180"/>
      <c r="CG116" s="180"/>
      <c r="CH116" s="180"/>
      <c r="CI116" s="180"/>
      <c r="CJ116" s="180"/>
      <c r="CK116" s="180"/>
      <c r="CL116" s="180"/>
      <c r="CM116" s="180"/>
      <c r="CN116" s="180"/>
      <c r="CO116" s="180"/>
      <c r="CP116" s="180"/>
      <c r="CQ116" s="180"/>
      <c r="CR116" s="180"/>
      <c r="CS116" s="180"/>
      <c r="CT116" s="180"/>
      <c r="CU116" s="180"/>
      <c r="CV116" s="180"/>
      <c r="CW116" s="180"/>
      <c r="CX116" s="180"/>
      <c r="CY116" s="180"/>
      <c r="CZ116" s="180"/>
    </row>
    <row r="117" spans="1:104" x14ac:dyDescent="0.45">
      <c r="A117" s="180" t="s">
        <v>2</v>
      </c>
      <c r="B117" s="73">
        <v>1</v>
      </c>
      <c r="C117" s="73">
        <v>1</v>
      </c>
      <c r="D117" s="180" t="s">
        <v>332</v>
      </c>
      <c r="E117" s="39">
        <v>43582</v>
      </c>
      <c r="F117" s="179">
        <v>0.39097222222222222</v>
      </c>
      <c r="G117" s="180">
        <v>1</v>
      </c>
      <c r="H117" s="180"/>
      <c r="I117" s="180"/>
      <c r="J117" s="180"/>
      <c r="K117" s="180"/>
      <c r="L117" s="180"/>
      <c r="M117" s="180"/>
      <c r="N117" s="180"/>
      <c r="O117" s="180"/>
      <c r="P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c r="CJ117" s="180"/>
      <c r="CK117" s="180"/>
      <c r="CL117" s="180"/>
      <c r="CM117" s="180"/>
      <c r="CN117" s="180"/>
      <c r="CO117" s="180"/>
      <c r="CP117" s="180"/>
      <c r="CQ117" s="180"/>
      <c r="CR117" s="180"/>
      <c r="CS117" s="180"/>
      <c r="CT117" s="180"/>
      <c r="CU117" s="180"/>
      <c r="CV117" s="180"/>
      <c r="CW117" s="180"/>
      <c r="CX117" s="180"/>
      <c r="CY117" s="180"/>
      <c r="CZ117" s="180"/>
    </row>
    <row r="118" spans="1:104" x14ac:dyDescent="0.45">
      <c r="A118" s="180" t="s">
        <v>2</v>
      </c>
      <c r="B118" s="73">
        <v>2</v>
      </c>
      <c r="C118" s="73">
        <v>1</v>
      </c>
      <c r="D118" s="180" t="s">
        <v>311</v>
      </c>
      <c r="E118" s="39">
        <v>43582</v>
      </c>
      <c r="F118" s="179">
        <v>0.5</v>
      </c>
      <c r="G118" s="180">
        <v>1</v>
      </c>
      <c r="H118" s="180"/>
      <c r="I118" s="180"/>
      <c r="J118" s="180"/>
      <c r="K118" s="180"/>
      <c r="L118" s="180"/>
      <c r="M118" s="180"/>
      <c r="N118" s="180"/>
      <c r="O118" s="180"/>
      <c r="P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0"/>
      <c r="BS118" s="180"/>
      <c r="BT118" s="180"/>
      <c r="BU118" s="180"/>
      <c r="BV118" s="180"/>
      <c r="BW118" s="180"/>
      <c r="BX118" s="180"/>
      <c r="BY118" s="180"/>
      <c r="BZ118" s="180"/>
      <c r="CA118" s="180"/>
      <c r="CB118" s="180"/>
      <c r="CC118" s="180"/>
      <c r="CD118" s="180"/>
      <c r="CE118" s="180"/>
      <c r="CF118" s="180"/>
      <c r="CG118" s="180"/>
      <c r="CH118" s="180"/>
      <c r="CI118" s="180"/>
      <c r="CJ118" s="180"/>
      <c r="CK118" s="180"/>
      <c r="CL118" s="180"/>
      <c r="CM118" s="180"/>
      <c r="CN118" s="180"/>
      <c r="CO118" s="180"/>
      <c r="CP118" s="180"/>
      <c r="CQ118" s="180"/>
      <c r="CR118" s="180"/>
      <c r="CS118" s="180"/>
      <c r="CT118" s="180"/>
      <c r="CU118" s="180"/>
      <c r="CV118" s="180"/>
      <c r="CW118" s="180"/>
      <c r="CX118" s="180"/>
      <c r="CY118" s="180"/>
      <c r="CZ118" s="180"/>
    </row>
    <row r="119" spans="1:104" x14ac:dyDescent="0.45">
      <c r="A119" s="180" t="s">
        <v>2</v>
      </c>
      <c r="B119" s="73">
        <v>3</v>
      </c>
      <c r="C119" s="73">
        <v>3</v>
      </c>
      <c r="D119" s="180" t="s">
        <v>349</v>
      </c>
      <c r="E119" s="39">
        <v>43582</v>
      </c>
      <c r="F119" s="179">
        <v>0.44375000000000003</v>
      </c>
      <c r="G119" s="180">
        <v>2</v>
      </c>
      <c r="H119" s="180" t="s">
        <v>350</v>
      </c>
      <c r="I119" s="180" t="s">
        <v>351</v>
      </c>
      <c r="J119" s="180"/>
      <c r="K119" s="180"/>
      <c r="L119" s="180"/>
      <c r="M119" s="180"/>
      <c r="N119" s="180"/>
      <c r="O119" s="180"/>
      <c r="P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180"/>
      <c r="BR119" s="180"/>
      <c r="BS119" s="180"/>
      <c r="BT119" s="180"/>
      <c r="BU119" s="180"/>
      <c r="BV119" s="180"/>
      <c r="BW119" s="180"/>
      <c r="BX119" s="180"/>
      <c r="BY119" s="180"/>
      <c r="BZ119" s="180"/>
      <c r="CA119" s="180"/>
      <c r="CB119" s="180"/>
      <c r="CC119" s="180"/>
      <c r="CD119" s="180"/>
      <c r="CE119" s="180"/>
      <c r="CF119" s="180"/>
      <c r="CG119" s="180"/>
      <c r="CH119" s="180"/>
      <c r="CI119" s="180"/>
      <c r="CJ119" s="180"/>
      <c r="CK119" s="180"/>
      <c r="CL119" s="180"/>
      <c r="CM119" s="180"/>
      <c r="CN119" s="180"/>
      <c r="CO119" s="180"/>
      <c r="CP119" s="180"/>
      <c r="CQ119" s="180"/>
      <c r="CR119" s="180"/>
      <c r="CS119" s="180"/>
      <c r="CT119" s="180"/>
      <c r="CU119" s="180"/>
      <c r="CV119" s="180"/>
      <c r="CW119" s="180"/>
      <c r="CX119" s="180"/>
      <c r="CY119" s="180"/>
      <c r="CZ119" s="180"/>
    </row>
    <row r="120" spans="1:104" x14ac:dyDescent="0.45">
      <c r="A120" s="180" t="s">
        <v>2</v>
      </c>
      <c r="B120" s="73">
        <v>3</v>
      </c>
      <c r="C120" s="73"/>
      <c r="D120" s="180" t="s">
        <v>349</v>
      </c>
      <c r="E120" s="39">
        <v>43582</v>
      </c>
      <c r="F120" s="179">
        <v>0.44375000000000003</v>
      </c>
      <c r="G120" s="180">
        <v>2</v>
      </c>
      <c r="H120" s="180" t="s">
        <v>350</v>
      </c>
      <c r="I120" s="180"/>
      <c r="J120" s="180"/>
      <c r="K120" s="180"/>
      <c r="L120" s="180"/>
      <c r="M120" s="180"/>
      <c r="N120" s="180"/>
      <c r="O120" s="180"/>
      <c r="P120" s="180"/>
      <c r="AS120" s="180"/>
      <c r="AT120" s="180"/>
      <c r="AU120" s="180"/>
      <c r="AV120" s="180"/>
      <c r="AW120" s="180"/>
      <c r="AX120" s="180"/>
      <c r="AY120" s="180"/>
      <c r="AZ120" s="180"/>
      <c r="BA120" s="180"/>
      <c r="BB120" s="180"/>
      <c r="BC120" s="180"/>
      <c r="BD120" s="180"/>
      <c r="BE120" s="180"/>
      <c r="BF120" s="180"/>
      <c r="BG120" s="180"/>
      <c r="BH120" s="180"/>
      <c r="BI120" s="180"/>
      <c r="BJ120" s="180"/>
      <c r="BK120" s="180"/>
      <c r="BL120" s="180"/>
      <c r="BM120" s="180"/>
      <c r="BN120" s="180"/>
      <c r="BO120" s="180"/>
      <c r="BP120" s="180"/>
      <c r="BQ120" s="180"/>
      <c r="BR120" s="180"/>
      <c r="BS120" s="180"/>
      <c r="BT120" s="180"/>
      <c r="BU120" s="180"/>
      <c r="BV120" s="180"/>
      <c r="BW120" s="180"/>
      <c r="BX120" s="180"/>
      <c r="BY120" s="180"/>
      <c r="BZ120" s="180"/>
      <c r="CA120" s="180"/>
      <c r="CB120" s="180"/>
      <c r="CC120" s="180"/>
      <c r="CD120" s="180"/>
      <c r="CE120" s="180"/>
      <c r="CF120" s="180"/>
      <c r="CG120" s="180"/>
      <c r="CH120" s="180"/>
      <c r="CI120" s="180"/>
      <c r="CJ120" s="180"/>
      <c r="CK120" s="180"/>
      <c r="CL120" s="180"/>
      <c r="CM120" s="180"/>
      <c r="CN120" s="180"/>
      <c r="CO120" s="180"/>
      <c r="CP120" s="180"/>
      <c r="CQ120" s="180"/>
      <c r="CR120" s="180"/>
      <c r="CS120" s="180"/>
      <c r="CT120" s="180"/>
      <c r="CU120" s="180"/>
      <c r="CV120" s="180"/>
      <c r="CW120" s="180"/>
      <c r="CX120" s="180"/>
      <c r="CY120" s="180"/>
      <c r="CZ120" s="180"/>
    </row>
    <row r="121" spans="1:104" x14ac:dyDescent="0.45">
      <c r="A121" s="180" t="s">
        <v>2</v>
      </c>
      <c r="B121" s="73">
        <v>4</v>
      </c>
      <c r="C121" s="73">
        <v>4</v>
      </c>
      <c r="D121" s="180" t="s">
        <v>311</v>
      </c>
      <c r="E121" s="39">
        <v>43583</v>
      </c>
      <c r="F121" s="179">
        <v>0.4375</v>
      </c>
      <c r="G121" s="180">
        <v>11</v>
      </c>
      <c r="H121" s="180" t="s">
        <v>279</v>
      </c>
      <c r="I121" s="180"/>
      <c r="J121" s="180"/>
      <c r="K121" s="180"/>
      <c r="L121" s="180"/>
      <c r="M121" s="180"/>
      <c r="N121" s="180"/>
      <c r="O121" s="180"/>
      <c r="P121" s="180"/>
      <c r="AS121" s="180"/>
      <c r="AT121" s="180"/>
      <c r="AU121" s="180"/>
      <c r="AV121" s="180"/>
      <c r="AW121" s="180"/>
      <c r="AX121" s="180"/>
      <c r="AY121" s="180"/>
      <c r="AZ121" s="180"/>
      <c r="BA121" s="180"/>
      <c r="BB121" s="180"/>
      <c r="BC121" s="180"/>
      <c r="BD121" s="180"/>
      <c r="BE121" s="180"/>
      <c r="BF121" s="180"/>
      <c r="BG121" s="180"/>
      <c r="BH121" s="180"/>
      <c r="BI121" s="180"/>
      <c r="BJ121" s="180"/>
      <c r="BK121" s="180"/>
      <c r="BL121" s="180"/>
      <c r="BM121" s="180"/>
      <c r="BN121" s="180"/>
      <c r="BO121" s="180"/>
      <c r="BP121" s="180"/>
      <c r="BQ121" s="180"/>
      <c r="BR121" s="180"/>
      <c r="BS121" s="180"/>
      <c r="BT121" s="180"/>
      <c r="BU121" s="180"/>
      <c r="BV121" s="180"/>
      <c r="BW121" s="180"/>
      <c r="BX121" s="180"/>
      <c r="BY121" s="180"/>
      <c r="BZ121" s="180"/>
      <c r="CA121" s="180"/>
      <c r="CB121" s="180"/>
      <c r="CC121" s="180"/>
      <c r="CD121" s="180"/>
      <c r="CE121" s="180"/>
      <c r="CF121" s="180"/>
      <c r="CG121" s="180"/>
      <c r="CH121" s="180"/>
      <c r="CI121" s="180"/>
      <c r="CJ121" s="180"/>
      <c r="CK121" s="180"/>
      <c r="CL121" s="180"/>
      <c r="CM121" s="180"/>
      <c r="CN121" s="180"/>
      <c r="CO121" s="180"/>
      <c r="CP121" s="180"/>
      <c r="CQ121" s="180"/>
      <c r="CR121" s="180"/>
      <c r="CS121" s="180"/>
      <c r="CT121" s="180"/>
      <c r="CU121" s="180"/>
      <c r="CV121" s="180"/>
      <c r="CW121" s="180"/>
      <c r="CX121" s="180"/>
      <c r="CY121" s="180"/>
      <c r="CZ121" s="180"/>
    </row>
    <row r="122" spans="1:104" x14ac:dyDescent="0.45">
      <c r="A122" s="180" t="s">
        <v>2</v>
      </c>
      <c r="B122" s="73">
        <v>5</v>
      </c>
      <c r="C122" s="73">
        <v>5</v>
      </c>
      <c r="D122" s="180" t="s">
        <v>309</v>
      </c>
      <c r="E122" s="39">
        <v>43583</v>
      </c>
      <c r="F122" s="179">
        <v>0.4375</v>
      </c>
      <c r="G122" s="180">
        <v>4</v>
      </c>
      <c r="H122" s="180" t="s">
        <v>279</v>
      </c>
      <c r="I122" s="180"/>
      <c r="J122" s="180"/>
      <c r="K122" s="180"/>
      <c r="L122" s="180"/>
      <c r="M122" s="180"/>
      <c r="N122" s="180"/>
      <c r="O122" s="180"/>
      <c r="P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0"/>
      <c r="BR122" s="180"/>
      <c r="BS122" s="180"/>
      <c r="BT122" s="180"/>
      <c r="BU122" s="180"/>
      <c r="BV122" s="180"/>
      <c r="BW122" s="180"/>
      <c r="BX122" s="180"/>
      <c r="BY122" s="180"/>
      <c r="BZ122" s="180"/>
      <c r="CA122" s="180"/>
      <c r="CB122" s="180"/>
      <c r="CC122" s="180"/>
      <c r="CD122" s="180"/>
      <c r="CE122" s="180"/>
      <c r="CF122" s="180"/>
      <c r="CG122" s="180"/>
      <c r="CH122" s="180"/>
      <c r="CI122" s="180"/>
      <c r="CJ122" s="180"/>
      <c r="CK122" s="180"/>
      <c r="CL122" s="180"/>
      <c r="CM122" s="180"/>
      <c r="CN122" s="180"/>
      <c r="CO122" s="180"/>
      <c r="CP122" s="180"/>
      <c r="CQ122" s="180"/>
      <c r="CR122" s="180"/>
      <c r="CS122" s="180"/>
      <c r="CT122" s="180"/>
      <c r="CU122" s="180"/>
      <c r="CV122" s="180"/>
      <c r="CW122" s="180"/>
      <c r="CX122" s="180"/>
      <c r="CY122" s="180"/>
      <c r="CZ122" s="180"/>
    </row>
    <row r="123" spans="1:104" x14ac:dyDescent="0.45">
      <c r="A123" s="180" t="s">
        <v>2</v>
      </c>
      <c r="B123" s="73">
        <v>11</v>
      </c>
      <c r="C123" s="73">
        <v>11</v>
      </c>
      <c r="D123" s="180" t="s">
        <v>128</v>
      </c>
      <c r="E123" s="39">
        <v>43584</v>
      </c>
      <c r="F123" s="179">
        <v>0.50486111111111109</v>
      </c>
      <c r="G123" s="180">
        <v>1</v>
      </c>
      <c r="H123" s="180" t="s">
        <v>352</v>
      </c>
      <c r="I123" s="180"/>
      <c r="J123" s="180"/>
      <c r="K123" s="180"/>
      <c r="L123" s="180"/>
      <c r="M123" s="180"/>
      <c r="N123" s="180"/>
      <c r="O123" s="180"/>
      <c r="P123" s="180"/>
      <c r="AS123" s="180"/>
      <c r="AT123" s="180"/>
      <c r="AU123" s="180"/>
      <c r="AV123" s="180"/>
      <c r="AW123" s="180"/>
      <c r="AX123" s="180"/>
      <c r="AY123" s="180"/>
      <c r="AZ123" s="180"/>
      <c r="BA123" s="180"/>
      <c r="BB123" s="180"/>
      <c r="BC123" s="180"/>
      <c r="BD123" s="180"/>
      <c r="BE123" s="180"/>
      <c r="BF123" s="180"/>
      <c r="BG123" s="180"/>
      <c r="BH123" s="180"/>
      <c r="BI123" s="180"/>
      <c r="BJ123" s="180"/>
      <c r="BK123" s="180"/>
      <c r="BL123" s="180"/>
      <c r="BM123" s="180"/>
      <c r="BN123" s="180"/>
      <c r="BO123" s="180"/>
      <c r="BP123" s="180"/>
      <c r="BQ123" s="180"/>
      <c r="BR123" s="180"/>
      <c r="BS123" s="180"/>
      <c r="BT123" s="180"/>
      <c r="BU123" s="180"/>
      <c r="BV123" s="180"/>
      <c r="BW123" s="180"/>
      <c r="BX123" s="180"/>
      <c r="BY123" s="180"/>
      <c r="BZ123" s="180"/>
      <c r="CA123" s="180"/>
      <c r="CB123" s="180"/>
      <c r="CC123" s="180"/>
      <c r="CD123" s="180"/>
      <c r="CE123" s="180"/>
      <c r="CF123" s="180"/>
      <c r="CG123" s="180"/>
      <c r="CH123" s="180"/>
      <c r="CI123" s="180"/>
      <c r="CJ123" s="180"/>
      <c r="CK123" s="180"/>
      <c r="CL123" s="180"/>
      <c r="CM123" s="180"/>
      <c r="CN123" s="180"/>
      <c r="CO123" s="180"/>
      <c r="CP123" s="180"/>
      <c r="CQ123" s="180"/>
      <c r="CR123" s="180"/>
      <c r="CS123" s="180"/>
      <c r="CT123" s="180"/>
      <c r="CU123" s="180"/>
      <c r="CV123" s="180"/>
      <c r="CW123" s="180"/>
      <c r="CX123" s="180"/>
      <c r="CY123" s="180"/>
      <c r="CZ123" s="180"/>
    </row>
    <row r="124" spans="1:104" x14ac:dyDescent="0.45">
      <c r="A124" s="180" t="s">
        <v>2</v>
      </c>
      <c r="B124" s="73">
        <v>5</v>
      </c>
      <c r="C124" s="73"/>
      <c r="D124" s="180" t="s">
        <v>309</v>
      </c>
      <c r="E124" s="39">
        <v>43584</v>
      </c>
      <c r="F124" s="179">
        <v>0.55277777777777781</v>
      </c>
      <c r="G124" s="180">
        <v>1</v>
      </c>
      <c r="H124" s="180"/>
      <c r="I124" s="180"/>
      <c r="J124" s="180"/>
      <c r="K124" s="180"/>
      <c r="L124" s="180"/>
      <c r="M124" s="180"/>
      <c r="N124" s="180"/>
      <c r="O124" s="180"/>
      <c r="P124" s="180"/>
      <c r="AS124" s="180"/>
      <c r="AT124" s="180"/>
      <c r="AU124" s="180"/>
      <c r="AV124" s="180"/>
      <c r="AW124" s="180"/>
      <c r="AX124" s="180"/>
      <c r="AY124" s="180"/>
      <c r="AZ124" s="180"/>
      <c r="BA124" s="180"/>
      <c r="BB124" s="180"/>
      <c r="BC124" s="180"/>
      <c r="BD124" s="180"/>
      <c r="BE124" s="180"/>
      <c r="BF124" s="180"/>
      <c r="BG124" s="180"/>
      <c r="BH124" s="180"/>
      <c r="BI124" s="180"/>
      <c r="BJ124" s="180"/>
      <c r="BK124" s="180"/>
      <c r="BL124" s="180"/>
      <c r="BM124" s="180"/>
      <c r="BN124" s="180"/>
      <c r="BO124" s="180"/>
      <c r="BP124" s="180"/>
      <c r="BQ124" s="180"/>
      <c r="BR124" s="180"/>
      <c r="BS124" s="180"/>
      <c r="BT124" s="180"/>
      <c r="BU124" s="180"/>
      <c r="BV124" s="180"/>
      <c r="BW124" s="180"/>
      <c r="BX124" s="180"/>
      <c r="BY124" s="180"/>
      <c r="BZ124" s="180"/>
      <c r="CA124" s="180"/>
      <c r="CB124" s="180"/>
      <c r="CC124" s="180"/>
      <c r="CD124" s="180"/>
      <c r="CE124" s="180"/>
      <c r="CF124" s="180"/>
      <c r="CG124" s="180"/>
      <c r="CH124" s="180"/>
      <c r="CI124" s="180"/>
      <c r="CJ124" s="180"/>
      <c r="CK124" s="180"/>
      <c r="CL124" s="180"/>
      <c r="CM124" s="180"/>
      <c r="CN124" s="180"/>
      <c r="CO124" s="180"/>
      <c r="CP124" s="180"/>
      <c r="CQ124" s="180"/>
      <c r="CR124" s="180"/>
      <c r="CS124" s="180"/>
      <c r="CT124" s="180"/>
      <c r="CU124" s="180"/>
      <c r="CV124" s="180"/>
      <c r="CW124" s="180"/>
      <c r="CX124" s="180"/>
      <c r="CY124" s="180"/>
      <c r="CZ124" s="180"/>
    </row>
    <row r="125" spans="1:104" x14ac:dyDescent="0.45">
      <c r="A125" s="180" t="s">
        <v>2</v>
      </c>
      <c r="B125" s="73">
        <v>35</v>
      </c>
      <c r="C125" s="73"/>
      <c r="D125" s="180" t="s">
        <v>353</v>
      </c>
      <c r="E125" s="39">
        <v>43585</v>
      </c>
      <c r="F125" s="179">
        <v>0.56111111111111112</v>
      </c>
      <c r="G125" s="180">
        <v>1</v>
      </c>
      <c r="H125" s="180" t="s">
        <v>354</v>
      </c>
      <c r="I125" s="180"/>
      <c r="J125" s="180"/>
      <c r="K125" s="180"/>
      <c r="L125" s="180"/>
      <c r="M125" s="180"/>
      <c r="N125" s="180"/>
      <c r="O125" s="180"/>
      <c r="P125" s="180"/>
      <c r="AS125" s="180"/>
      <c r="AT125" s="180"/>
      <c r="AU125" s="180"/>
      <c r="AV125" s="180"/>
      <c r="AW125" s="180"/>
      <c r="AX125" s="180"/>
      <c r="AY125" s="180"/>
      <c r="AZ125" s="180"/>
      <c r="BA125" s="180"/>
      <c r="BB125" s="180"/>
      <c r="BC125" s="180"/>
      <c r="BD125" s="180"/>
      <c r="BE125" s="180"/>
      <c r="BF125" s="180"/>
      <c r="BG125" s="180"/>
      <c r="BH125" s="180"/>
      <c r="BI125" s="180"/>
      <c r="BJ125" s="180"/>
      <c r="BK125" s="180"/>
      <c r="BL125" s="180"/>
      <c r="BM125" s="180"/>
      <c r="BN125" s="180"/>
      <c r="BO125" s="180"/>
      <c r="BP125" s="180"/>
      <c r="BQ125" s="180"/>
      <c r="BR125" s="180"/>
      <c r="BS125" s="180"/>
      <c r="BT125" s="180"/>
      <c r="BU125" s="180"/>
      <c r="BV125" s="180"/>
      <c r="BW125" s="180"/>
      <c r="BX125" s="180"/>
      <c r="BY125" s="180"/>
      <c r="BZ125" s="180"/>
      <c r="CA125" s="180"/>
      <c r="CB125" s="180"/>
      <c r="CC125" s="180"/>
      <c r="CD125" s="180"/>
      <c r="CE125" s="180"/>
      <c r="CF125" s="180"/>
      <c r="CG125" s="180"/>
      <c r="CH125" s="180"/>
      <c r="CI125" s="180"/>
      <c r="CJ125" s="180"/>
      <c r="CK125" s="180"/>
      <c r="CL125" s="180"/>
      <c r="CM125" s="180"/>
      <c r="CN125" s="180"/>
      <c r="CO125" s="180"/>
      <c r="CP125" s="180"/>
      <c r="CQ125" s="180"/>
      <c r="CR125" s="180"/>
      <c r="CS125" s="180"/>
      <c r="CT125" s="180"/>
      <c r="CU125" s="180"/>
      <c r="CV125" s="180"/>
      <c r="CW125" s="180"/>
      <c r="CX125" s="180"/>
      <c r="CY125" s="180"/>
      <c r="CZ125" s="180"/>
    </row>
    <row r="126" spans="1:104" x14ac:dyDescent="0.45">
      <c r="A126" s="180" t="s">
        <v>2</v>
      </c>
      <c r="B126" s="73">
        <v>50</v>
      </c>
      <c r="C126" s="73"/>
      <c r="D126" s="180" t="s">
        <v>128</v>
      </c>
      <c r="E126" s="39">
        <v>43585</v>
      </c>
      <c r="F126" s="179">
        <v>0.54097222222222219</v>
      </c>
      <c r="G126" s="180">
        <v>1</v>
      </c>
      <c r="H126" s="180"/>
      <c r="I126" s="180"/>
      <c r="J126" s="180"/>
      <c r="K126" s="180"/>
      <c r="L126" s="180"/>
      <c r="M126" s="180"/>
      <c r="N126" s="180"/>
      <c r="O126" s="180"/>
      <c r="P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0"/>
      <c r="BS126" s="180"/>
      <c r="BT126" s="180"/>
      <c r="BU126" s="180"/>
      <c r="BV126" s="180"/>
      <c r="BW126" s="180"/>
      <c r="BX126" s="180"/>
      <c r="BY126" s="180"/>
      <c r="BZ126" s="180"/>
      <c r="CA126" s="180"/>
      <c r="CB126" s="180"/>
      <c r="CC126" s="180"/>
      <c r="CD126" s="180"/>
      <c r="CE126" s="180"/>
      <c r="CF126" s="180"/>
      <c r="CG126" s="180"/>
      <c r="CH126" s="180"/>
      <c r="CI126" s="180"/>
      <c r="CJ126" s="180"/>
      <c r="CK126" s="180"/>
      <c r="CL126" s="180"/>
      <c r="CM126" s="180"/>
      <c r="CN126" s="180"/>
      <c r="CO126" s="180"/>
      <c r="CP126" s="180"/>
      <c r="CQ126" s="180"/>
      <c r="CR126" s="180"/>
      <c r="CS126" s="180"/>
      <c r="CT126" s="180"/>
      <c r="CU126" s="180"/>
      <c r="CV126" s="180"/>
      <c r="CW126" s="180"/>
      <c r="CX126" s="180"/>
      <c r="CY126" s="180"/>
      <c r="CZ126" s="180"/>
    </row>
    <row r="127" spans="1:104" x14ac:dyDescent="0.45">
      <c r="A127" s="180" t="s">
        <v>2</v>
      </c>
      <c r="B127" s="73">
        <v>30</v>
      </c>
      <c r="C127" s="73"/>
      <c r="D127" s="180" t="s">
        <v>309</v>
      </c>
      <c r="E127" s="39">
        <v>43585</v>
      </c>
      <c r="F127" s="179">
        <v>0.59930555555555554</v>
      </c>
      <c r="G127" s="180">
        <v>2</v>
      </c>
      <c r="H127" s="180"/>
      <c r="I127" s="180"/>
      <c r="J127" s="180"/>
      <c r="K127" s="180"/>
      <c r="L127" s="180"/>
      <c r="M127" s="180"/>
      <c r="N127" s="180"/>
      <c r="O127" s="180"/>
      <c r="P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0"/>
      <c r="BR127" s="180"/>
      <c r="BS127" s="180"/>
      <c r="BT127" s="180"/>
      <c r="BU127" s="180"/>
      <c r="BV127" s="180"/>
      <c r="BW127" s="180"/>
      <c r="BX127" s="180"/>
      <c r="BY127" s="180"/>
      <c r="BZ127" s="180"/>
      <c r="CA127" s="180"/>
      <c r="CB127" s="180"/>
      <c r="CC127" s="180"/>
      <c r="CD127" s="180"/>
      <c r="CE127" s="180"/>
      <c r="CF127" s="180"/>
      <c r="CG127" s="180"/>
      <c r="CH127" s="180"/>
      <c r="CI127" s="180"/>
      <c r="CJ127" s="180"/>
      <c r="CK127" s="180"/>
      <c r="CL127" s="180"/>
      <c r="CM127" s="180"/>
      <c r="CN127" s="180"/>
      <c r="CO127" s="180"/>
      <c r="CP127" s="180"/>
      <c r="CQ127" s="180"/>
      <c r="CR127" s="180"/>
      <c r="CS127" s="180"/>
      <c r="CT127" s="180"/>
      <c r="CU127" s="180"/>
      <c r="CV127" s="180"/>
      <c r="CW127" s="180"/>
      <c r="CX127" s="180"/>
      <c r="CY127" s="180"/>
      <c r="CZ127" s="180"/>
    </row>
    <row r="128" spans="1:104" x14ac:dyDescent="0.45">
      <c r="A128" s="180" t="s">
        <v>2</v>
      </c>
      <c r="B128" s="73">
        <v>50</v>
      </c>
      <c r="C128" s="73">
        <v>50</v>
      </c>
      <c r="D128" s="180" t="s">
        <v>309</v>
      </c>
      <c r="E128" s="39">
        <v>43585</v>
      </c>
      <c r="F128" s="179">
        <v>0.42777777777777781</v>
      </c>
      <c r="G128" s="180">
        <v>2</v>
      </c>
      <c r="H128" s="180"/>
      <c r="I128" s="180"/>
      <c r="J128" s="180"/>
      <c r="K128" s="180"/>
      <c r="L128" s="180"/>
      <c r="M128" s="180"/>
      <c r="N128" s="180"/>
      <c r="O128" s="180"/>
      <c r="P128" s="180"/>
      <c r="AS128" s="180"/>
      <c r="AT128" s="180"/>
      <c r="AU128" s="180"/>
      <c r="AV128" s="180"/>
      <c r="AW128" s="180"/>
      <c r="AX128" s="180"/>
      <c r="AY128" s="180"/>
      <c r="AZ128" s="180"/>
      <c r="BA128" s="180"/>
      <c r="BB128" s="180"/>
      <c r="BC128" s="180"/>
      <c r="BD128" s="180"/>
      <c r="BE128" s="180"/>
      <c r="BF128" s="180"/>
      <c r="BG128" s="180"/>
      <c r="BH128" s="180"/>
      <c r="BI128" s="180"/>
      <c r="BJ128" s="180"/>
      <c r="BK128" s="180"/>
      <c r="BL128" s="180"/>
      <c r="BM128" s="180"/>
      <c r="BN128" s="180"/>
      <c r="BO128" s="180"/>
      <c r="BP128" s="180"/>
      <c r="BQ128" s="180"/>
      <c r="BR128" s="180"/>
      <c r="BS128" s="180"/>
      <c r="BT128" s="180"/>
      <c r="BU128" s="180"/>
      <c r="BV128" s="180"/>
      <c r="BW128" s="180"/>
      <c r="BX128" s="180"/>
      <c r="BY128" s="180"/>
      <c r="BZ128" s="180"/>
      <c r="CA128" s="180"/>
      <c r="CB128" s="180"/>
      <c r="CC128" s="180"/>
      <c r="CD128" s="180"/>
      <c r="CE128" s="180"/>
      <c r="CF128" s="180"/>
      <c r="CG128" s="180"/>
      <c r="CH128" s="180"/>
      <c r="CI128" s="180"/>
      <c r="CJ128" s="180"/>
      <c r="CK128" s="180"/>
      <c r="CL128" s="180"/>
      <c r="CM128" s="180"/>
      <c r="CN128" s="180"/>
      <c r="CO128" s="180"/>
      <c r="CP128" s="180"/>
      <c r="CQ128" s="180"/>
      <c r="CR128" s="180"/>
      <c r="CS128" s="180"/>
      <c r="CT128" s="180"/>
      <c r="CU128" s="180"/>
      <c r="CV128" s="180"/>
      <c r="CW128" s="180"/>
      <c r="CX128" s="180"/>
      <c r="CY128" s="180"/>
      <c r="CZ128" s="180"/>
    </row>
    <row r="129" spans="1:104" x14ac:dyDescent="0.45">
      <c r="A129" s="180" t="s">
        <v>2</v>
      </c>
      <c r="B129" s="73">
        <v>1</v>
      </c>
      <c r="C129" s="73">
        <v>1</v>
      </c>
      <c r="D129" s="180" t="s">
        <v>355</v>
      </c>
      <c r="E129" s="39">
        <v>43586</v>
      </c>
      <c r="F129" s="179">
        <v>0.51041666666666663</v>
      </c>
      <c r="G129" s="180">
        <v>2</v>
      </c>
      <c r="H129" s="180"/>
      <c r="I129" s="180"/>
      <c r="J129" s="180"/>
      <c r="K129" s="180"/>
      <c r="L129" s="180"/>
      <c r="M129" s="180"/>
      <c r="N129" s="180"/>
      <c r="O129" s="180"/>
      <c r="P129" s="180"/>
      <c r="AS129" s="180"/>
      <c r="AT129" s="180"/>
      <c r="AU129" s="180"/>
      <c r="AV129" s="180"/>
      <c r="AW129" s="180"/>
      <c r="AX129" s="180"/>
      <c r="AY129" s="180"/>
      <c r="AZ129" s="180"/>
      <c r="BA129" s="180"/>
      <c r="BB129" s="180"/>
      <c r="BC129" s="180"/>
      <c r="BD129" s="180"/>
      <c r="BE129" s="180"/>
      <c r="BF129" s="180"/>
      <c r="BG129" s="180"/>
      <c r="BH129" s="180"/>
      <c r="BI129" s="180"/>
      <c r="BJ129" s="180"/>
      <c r="BK129" s="180"/>
      <c r="BL129" s="180"/>
      <c r="BM129" s="180"/>
      <c r="BN129" s="180"/>
      <c r="BO129" s="180"/>
      <c r="BP129" s="180"/>
      <c r="BQ129" s="180"/>
      <c r="BR129" s="180"/>
      <c r="BS129" s="180"/>
      <c r="BT129" s="180"/>
      <c r="BU129" s="180"/>
      <c r="BV129" s="180"/>
      <c r="BW129" s="180"/>
      <c r="BX129" s="180"/>
      <c r="BY129" s="180"/>
      <c r="BZ129" s="180"/>
      <c r="CA129" s="180"/>
      <c r="CB129" s="180"/>
      <c r="CC129" s="180"/>
      <c r="CD129" s="180"/>
      <c r="CE129" s="180"/>
      <c r="CF129" s="180"/>
      <c r="CG129" s="180"/>
      <c r="CH129" s="180"/>
      <c r="CI129" s="180"/>
      <c r="CJ129" s="180"/>
      <c r="CK129" s="180"/>
      <c r="CL129" s="180"/>
      <c r="CM129" s="180"/>
      <c r="CN129" s="180"/>
      <c r="CO129" s="180"/>
      <c r="CP129" s="180"/>
      <c r="CQ129" s="180"/>
      <c r="CR129" s="180"/>
      <c r="CS129" s="180"/>
      <c r="CT129" s="180"/>
      <c r="CU129" s="180"/>
      <c r="CV129" s="180"/>
      <c r="CW129" s="180"/>
      <c r="CX129" s="180"/>
      <c r="CY129" s="180"/>
      <c r="CZ129" s="180"/>
    </row>
    <row r="130" spans="1:104" x14ac:dyDescent="0.45">
      <c r="A130" s="180" t="s">
        <v>2</v>
      </c>
      <c r="B130" s="73">
        <v>1</v>
      </c>
      <c r="C130" s="73"/>
      <c r="D130" s="180" t="s">
        <v>355</v>
      </c>
      <c r="E130" s="39">
        <v>43586</v>
      </c>
      <c r="F130" s="179">
        <v>0.51041666666666663</v>
      </c>
      <c r="G130" s="180">
        <v>2</v>
      </c>
      <c r="H130" s="180"/>
      <c r="I130" s="180"/>
      <c r="J130" s="180"/>
      <c r="K130" s="180"/>
      <c r="L130" s="180"/>
      <c r="M130" s="180"/>
      <c r="N130" s="180"/>
      <c r="O130" s="180"/>
      <c r="P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BS130" s="180"/>
      <c r="BT130" s="180"/>
      <c r="BU130" s="180"/>
      <c r="BV130" s="180"/>
      <c r="BW130" s="180"/>
      <c r="BX130" s="180"/>
      <c r="BY130" s="180"/>
      <c r="BZ130" s="180"/>
      <c r="CA130" s="180"/>
      <c r="CB130" s="180"/>
      <c r="CC130" s="180"/>
      <c r="CD130" s="180"/>
      <c r="CE130" s="180"/>
      <c r="CF130" s="180"/>
      <c r="CG130" s="180"/>
      <c r="CH130" s="180"/>
      <c r="CI130" s="180"/>
      <c r="CJ130" s="180"/>
      <c r="CK130" s="180"/>
      <c r="CL130" s="180"/>
      <c r="CM130" s="180"/>
      <c r="CN130" s="180"/>
      <c r="CO130" s="180"/>
      <c r="CP130" s="180"/>
      <c r="CQ130" s="180"/>
      <c r="CR130" s="180"/>
      <c r="CS130" s="180"/>
      <c r="CT130" s="180"/>
      <c r="CU130" s="180"/>
      <c r="CV130" s="180"/>
      <c r="CW130" s="180"/>
      <c r="CX130" s="180"/>
      <c r="CY130" s="180"/>
      <c r="CZ130" s="180"/>
    </row>
    <row r="131" spans="1:104" x14ac:dyDescent="0.45">
      <c r="A131" s="180" t="s">
        <v>2</v>
      </c>
      <c r="B131" s="73">
        <v>1</v>
      </c>
      <c r="C131" s="73"/>
      <c r="D131" s="180" t="s">
        <v>355</v>
      </c>
      <c r="E131" s="39">
        <v>43586</v>
      </c>
      <c r="F131" s="179">
        <v>0.51041666666666663</v>
      </c>
      <c r="G131" s="180">
        <v>2</v>
      </c>
      <c r="H131" s="180"/>
      <c r="I131" s="180"/>
      <c r="J131" s="180"/>
      <c r="K131" s="180"/>
      <c r="L131" s="180"/>
      <c r="M131" s="180"/>
      <c r="N131" s="180"/>
      <c r="O131" s="180"/>
      <c r="P131" s="180"/>
      <c r="AS131" s="180"/>
      <c r="AT131" s="180"/>
      <c r="AU131" s="180"/>
      <c r="AV131" s="180"/>
      <c r="AW131" s="180"/>
      <c r="AX131" s="180"/>
      <c r="AY131" s="180"/>
      <c r="AZ131" s="180"/>
      <c r="BA131" s="180"/>
      <c r="BB131" s="180"/>
      <c r="BC131" s="180"/>
      <c r="BD131" s="180"/>
      <c r="BE131" s="180"/>
      <c r="BF131" s="180"/>
      <c r="BG131" s="180"/>
      <c r="BH131" s="180"/>
      <c r="BI131" s="180"/>
      <c r="BJ131" s="180"/>
      <c r="BK131" s="180"/>
      <c r="BL131" s="180"/>
      <c r="BM131" s="180"/>
      <c r="BN131" s="180"/>
      <c r="BO131" s="180"/>
      <c r="BP131" s="180"/>
      <c r="BQ131" s="180"/>
      <c r="BR131" s="180"/>
      <c r="BS131" s="180"/>
      <c r="BT131" s="180"/>
      <c r="BU131" s="180"/>
      <c r="BV131" s="180"/>
      <c r="BW131" s="180"/>
      <c r="BX131" s="180"/>
      <c r="BY131" s="180"/>
      <c r="BZ131" s="180"/>
      <c r="CA131" s="180"/>
      <c r="CB131" s="180"/>
      <c r="CC131" s="180"/>
      <c r="CD131" s="180"/>
      <c r="CE131" s="180"/>
      <c r="CF131" s="180"/>
      <c r="CG131" s="180"/>
      <c r="CH131" s="180"/>
      <c r="CI131" s="180"/>
      <c r="CJ131" s="180"/>
      <c r="CK131" s="180"/>
      <c r="CL131" s="180"/>
      <c r="CM131" s="180"/>
      <c r="CN131" s="180"/>
      <c r="CO131" s="180"/>
      <c r="CP131" s="180"/>
      <c r="CQ131" s="180"/>
      <c r="CR131" s="180"/>
      <c r="CS131" s="180"/>
      <c r="CT131" s="180"/>
      <c r="CU131" s="180"/>
      <c r="CV131" s="180"/>
      <c r="CW131" s="180"/>
      <c r="CX131" s="180"/>
      <c r="CY131" s="180"/>
      <c r="CZ131" s="180"/>
    </row>
    <row r="132" spans="1:104" x14ac:dyDescent="0.45">
      <c r="A132" s="180" t="s">
        <v>2</v>
      </c>
      <c r="B132" s="73">
        <v>7</v>
      </c>
      <c r="C132" s="73"/>
      <c r="D132" s="180" t="s">
        <v>356</v>
      </c>
      <c r="E132" s="39">
        <v>43587</v>
      </c>
      <c r="F132" s="179">
        <v>0.47291666666666665</v>
      </c>
      <c r="G132" s="180">
        <v>2</v>
      </c>
      <c r="H132" s="180"/>
      <c r="I132" s="180"/>
      <c r="J132" s="180"/>
      <c r="K132" s="180"/>
      <c r="L132" s="180"/>
      <c r="M132" s="180"/>
      <c r="N132" s="180"/>
      <c r="O132" s="180"/>
      <c r="P132" s="180"/>
      <c r="AS132" s="180"/>
      <c r="AT132" s="180"/>
      <c r="AU132" s="180"/>
      <c r="AV132" s="180"/>
      <c r="AW132" s="180"/>
      <c r="AX132" s="180"/>
      <c r="AY132" s="180"/>
      <c r="AZ132" s="180"/>
      <c r="BA132" s="180"/>
      <c r="BB132" s="180"/>
      <c r="BC132" s="180"/>
      <c r="BD132" s="180"/>
      <c r="BE132" s="180"/>
      <c r="BF132" s="180"/>
      <c r="BG132" s="180"/>
      <c r="BH132" s="180"/>
      <c r="BI132" s="180"/>
      <c r="BJ132" s="180"/>
      <c r="BK132" s="180"/>
      <c r="BL132" s="180"/>
      <c r="BM132" s="180"/>
      <c r="BN132" s="180"/>
      <c r="BO132" s="180"/>
      <c r="BP132" s="180"/>
      <c r="BQ132" s="180"/>
      <c r="BR132" s="180"/>
      <c r="BS132" s="180"/>
      <c r="BT132" s="180"/>
      <c r="BU132" s="180"/>
      <c r="BV132" s="180"/>
      <c r="BW132" s="180"/>
      <c r="BX132" s="180"/>
      <c r="BY132" s="180"/>
      <c r="BZ132" s="180"/>
      <c r="CA132" s="180"/>
      <c r="CB132" s="180"/>
      <c r="CC132" s="180"/>
      <c r="CD132" s="180"/>
      <c r="CE132" s="180"/>
      <c r="CF132" s="180"/>
      <c r="CG132" s="180"/>
      <c r="CH132" s="180"/>
      <c r="CI132" s="180"/>
      <c r="CJ132" s="180"/>
      <c r="CK132" s="180"/>
      <c r="CL132" s="180"/>
      <c r="CM132" s="180"/>
      <c r="CN132" s="180"/>
      <c r="CO132" s="180"/>
      <c r="CP132" s="180"/>
      <c r="CQ132" s="180"/>
      <c r="CR132" s="180"/>
      <c r="CS132" s="180"/>
      <c r="CT132" s="180"/>
      <c r="CU132" s="180"/>
      <c r="CV132" s="180"/>
      <c r="CW132" s="180"/>
      <c r="CX132" s="180"/>
      <c r="CY132" s="180"/>
      <c r="CZ132" s="180"/>
    </row>
    <row r="133" spans="1:104" x14ac:dyDescent="0.45">
      <c r="A133" s="180" t="s">
        <v>2</v>
      </c>
      <c r="B133" s="73">
        <v>8</v>
      </c>
      <c r="C133" s="73">
        <v>8</v>
      </c>
      <c r="D133" s="180" t="s">
        <v>128</v>
      </c>
      <c r="E133" s="39">
        <v>43587</v>
      </c>
      <c r="F133" s="179">
        <v>0.5444444444444444</v>
      </c>
      <c r="G133" s="180">
        <v>1</v>
      </c>
      <c r="H133" s="180" t="s">
        <v>34</v>
      </c>
      <c r="I133" s="180"/>
      <c r="J133" s="180"/>
      <c r="K133" s="180"/>
      <c r="L133" s="180"/>
      <c r="M133" s="180"/>
      <c r="N133" s="180"/>
      <c r="O133" s="180"/>
      <c r="P133" s="180"/>
      <c r="AS133" s="180"/>
      <c r="AT133" s="180"/>
      <c r="AU133" s="180"/>
      <c r="AV133" s="180"/>
      <c r="AW133" s="180"/>
      <c r="AX133" s="180"/>
      <c r="AY133" s="180"/>
      <c r="AZ133" s="180"/>
      <c r="BA133" s="180"/>
      <c r="BB133" s="180"/>
      <c r="BC133" s="180"/>
      <c r="BD133" s="180"/>
      <c r="BE133" s="180"/>
      <c r="BF133" s="180"/>
      <c r="BG133" s="180"/>
      <c r="BH133" s="180"/>
      <c r="BI133" s="180"/>
      <c r="BJ133" s="180"/>
      <c r="BK133" s="180"/>
      <c r="BL133" s="180"/>
      <c r="BM133" s="180"/>
      <c r="BN133" s="180"/>
      <c r="BO133" s="180"/>
      <c r="BP133" s="180"/>
      <c r="BQ133" s="180"/>
      <c r="BR133" s="180"/>
      <c r="BS133" s="180"/>
      <c r="BT133" s="180"/>
      <c r="BU133" s="180"/>
      <c r="BV133" s="180"/>
      <c r="BW133" s="180"/>
      <c r="BX133" s="180"/>
      <c r="BY133" s="180"/>
      <c r="BZ133" s="180"/>
      <c r="CA133" s="180"/>
      <c r="CB133" s="180"/>
      <c r="CC133" s="180"/>
      <c r="CD133" s="180"/>
      <c r="CE133" s="180"/>
      <c r="CF133" s="180"/>
      <c r="CG133" s="180"/>
      <c r="CH133" s="180"/>
      <c r="CI133" s="180"/>
      <c r="CJ133" s="180"/>
      <c r="CK133" s="180"/>
      <c r="CL133" s="180"/>
      <c r="CM133" s="180"/>
      <c r="CN133" s="180"/>
      <c r="CO133" s="180"/>
      <c r="CP133" s="180"/>
      <c r="CQ133" s="180"/>
      <c r="CR133" s="180"/>
      <c r="CS133" s="180"/>
      <c r="CT133" s="180"/>
      <c r="CU133" s="180"/>
      <c r="CV133" s="180"/>
      <c r="CW133" s="180"/>
      <c r="CX133" s="180"/>
      <c r="CY133" s="180"/>
      <c r="CZ133" s="180"/>
    </row>
    <row r="134" spans="1:104" x14ac:dyDescent="0.45">
      <c r="A134" s="180" t="s">
        <v>2</v>
      </c>
      <c r="B134" s="73">
        <v>2</v>
      </c>
      <c r="C134" s="73">
        <v>2</v>
      </c>
      <c r="D134" s="180" t="s">
        <v>344</v>
      </c>
      <c r="E134" s="39">
        <v>43588</v>
      </c>
      <c r="F134" s="179">
        <v>0.73472222222222217</v>
      </c>
      <c r="G134" s="180">
        <v>1</v>
      </c>
      <c r="H134" s="180"/>
      <c r="I134" s="180"/>
      <c r="J134" s="180"/>
      <c r="K134" s="180"/>
      <c r="L134" s="180"/>
      <c r="M134" s="180"/>
      <c r="N134" s="180"/>
      <c r="O134" s="180"/>
      <c r="P134" s="180"/>
      <c r="AS134" s="180"/>
      <c r="AT134" s="180"/>
      <c r="AU134" s="180"/>
      <c r="AV134" s="180"/>
      <c r="AW134" s="180"/>
      <c r="AX134" s="180"/>
      <c r="AY134" s="180"/>
      <c r="AZ134" s="180"/>
      <c r="BA134" s="180"/>
      <c r="BB134" s="180"/>
      <c r="BC134" s="180"/>
      <c r="BD134" s="180"/>
      <c r="BE134" s="180"/>
      <c r="BF134" s="180"/>
      <c r="BG134" s="180"/>
      <c r="BH134" s="180"/>
      <c r="BI134" s="180"/>
      <c r="BJ134" s="180"/>
      <c r="BK134" s="180"/>
      <c r="BL134" s="180"/>
      <c r="BM134" s="180"/>
      <c r="BN134" s="180"/>
      <c r="BO134" s="180"/>
      <c r="BP134" s="180"/>
      <c r="BQ134" s="180"/>
      <c r="BR134" s="180"/>
      <c r="BS134" s="180"/>
      <c r="BT134" s="180"/>
      <c r="BU134" s="180"/>
      <c r="BV134" s="180"/>
      <c r="BW134" s="180"/>
      <c r="BX134" s="180"/>
      <c r="BY134" s="180"/>
      <c r="BZ134" s="180"/>
      <c r="CA134" s="180"/>
      <c r="CB134" s="180"/>
      <c r="CC134" s="180"/>
      <c r="CD134" s="180"/>
      <c r="CE134" s="180"/>
      <c r="CF134" s="180"/>
      <c r="CG134" s="180"/>
      <c r="CH134" s="180"/>
      <c r="CI134" s="180"/>
      <c r="CJ134" s="180"/>
      <c r="CK134" s="180"/>
      <c r="CL134" s="180"/>
      <c r="CM134" s="180"/>
      <c r="CN134" s="180"/>
      <c r="CO134" s="180"/>
      <c r="CP134" s="180"/>
      <c r="CQ134" s="180"/>
      <c r="CR134" s="180"/>
      <c r="CS134" s="180"/>
      <c r="CT134" s="180"/>
      <c r="CU134" s="180"/>
      <c r="CV134" s="180"/>
      <c r="CW134" s="180"/>
      <c r="CX134" s="180"/>
      <c r="CY134" s="180"/>
      <c r="CZ134" s="180"/>
    </row>
    <row r="135" spans="1:104" x14ac:dyDescent="0.45">
      <c r="A135" s="180" t="s">
        <v>2</v>
      </c>
      <c r="B135" s="73">
        <v>3</v>
      </c>
      <c r="C135" s="73"/>
      <c r="D135" s="180" t="s">
        <v>128</v>
      </c>
      <c r="E135" s="39">
        <v>43588</v>
      </c>
      <c r="F135" s="179">
        <v>0.68125000000000002</v>
      </c>
      <c r="G135" s="180">
        <v>4</v>
      </c>
      <c r="H135" s="180" t="s">
        <v>310</v>
      </c>
      <c r="I135" s="180"/>
      <c r="J135" s="180"/>
      <c r="K135" s="180"/>
      <c r="L135" s="180"/>
      <c r="M135" s="180"/>
      <c r="N135" s="180"/>
      <c r="O135" s="180"/>
      <c r="P135" s="180"/>
      <c r="AS135" s="180"/>
      <c r="AT135" s="180"/>
      <c r="AU135" s="180"/>
      <c r="AV135" s="180"/>
      <c r="AW135" s="180"/>
      <c r="AX135" s="180"/>
      <c r="AY135" s="180"/>
      <c r="AZ135" s="180"/>
      <c r="BA135" s="180"/>
      <c r="BB135" s="180"/>
      <c r="BC135" s="180"/>
      <c r="BD135" s="180"/>
      <c r="BE135" s="180"/>
      <c r="BF135" s="180"/>
      <c r="BG135" s="180"/>
      <c r="BH135" s="180"/>
      <c r="BI135" s="180"/>
      <c r="BJ135" s="180"/>
      <c r="BK135" s="180"/>
      <c r="BL135" s="180"/>
      <c r="BM135" s="180"/>
      <c r="BN135" s="180"/>
      <c r="BO135" s="180"/>
      <c r="BP135" s="180"/>
      <c r="BQ135" s="180"/>
      <c r="BR135" s="180"/>
      <c r="BS135" s="180"/>
      <c r="BT135" s="180"/>
      <c r="BU135" s="180"/>
      <c r="BV135" s="180"/>
      <c r="BW135" s="180"/>
      <c r="BX135" s="180"/>
      <c r="BY135" s="180"/>
      <c r="BZ135" s="180"/>
      <c r="CA135" s="180"/>
      <c r="CB135" s="180"/>
      <c r="CC135" s="180"/>
      <c r="CD135" s="180"/>
      <c r="CE135" s="180"/>
      <c r="CF135" s="180"/>
      <c r="CG135" s="180"/>
      <c r="CH135" s="180"/>
      <c r="CI135" s="180"/>
      <c r="CJ135" s="180"/>
      <c r="CK135" s="180"/>
      <c r="CL135" s="180"/>
      <c r="CM135" s="180"/>
      <c r="CN135" s="180"/>
      <c r="CO135" s="180"/>
      <c r="CP135" s="180"/>
      <c r="CQ135" s="180"/>
      <c r="CR135" s="180"/>
      <c r="CS135" s="180"/>
      <c r="CT135" s="180"/>
      <c r="CU135" s="180"/>
      <c r="CV135" s="180"/>
      <c r="CW135" s="180"/>
      <c r="CX135" s="180"/>
      <c r="CY135" s="180"/>
      <c r="CZ135" s="180"/>
    </row>
    <row r="136" spans="1:104" x14ac:dyDescent="0.45">
      <c r="A136" s="180" t="s">
        <v>2</v>
      </c>
      <c r="B136" s="73">
        <v>10</v>
      </c>
      <c r="C136" s="73">
        <v>10</v>
      </c>
      <c r="D136" s="180" t="s">
        <v>311</v>
      </c>
      <c r="E136" s="39">
        <v>43588</v>
      </c>
      <c r="F136" s="179">
        <v>0.67708333333333337</v>
      </c>
      <c r="G136" s="180">
        <v>9</v>
      </c>
      <c r="H136" s="180" t="s">
        <v>312</v>
      </c>
      <c r="I136" s="180"/>
      <c r="J136" s="180"/>
      <c r="K136" s="180"/>
      <c r="L136" s="180"/>
      <c r="M136" s="180"/>
      <c r="N136" s="180"/>
      <c r="O136" s="180"/>
      <c r="P136" s="180"/>
      <c r="AS136" s="180"/>
      <c r="AT136" s="180"/>
      <c r="AU136" s="180"/>
      <c r="AV136" s="180"/>
      <c r="AW136" s="180"/>
      <c r="AX136" s="180"/>
      <c r="AY136" s="180"/>
      <c r="AZ136" s="180"/>
      <c r="BA136" s="180"/>
      <c r="BB136" s="180"/>
      <c r="BC136" s="180"/>
      <c r="BD136" s="180"/>
      <c r="BE136" s="180"/>
      <c r="BF136" s="180"/>
      <c r="BG136" s="180"/>
      <c r="BH136" s="180"/>
      <c r="BI136" s="180"/>
      <c r="BJ136" s="180"/>
      <c r="BK136" s="180"/>
      <c r="BL136" s="180"/>
      <c r="BM136" s="180"/>
      <c r="BN136" s="180"/>
      <c r="BO136" s="180"/>
      <c r="BP136" s="180"/>
      <c r="BQ136" s="180"/>
      <c r="BR136" s="180"/>
      <c r="BS136" s="180"/>
      <c r="BT136" s="180"/>
      <c r="BU136" s="180"/>
      <c r="BV136" s="180"/>
      <c r="BW136" s="180"/>
      <c r="BX136" s="180"/>
      <c r="BY136" s="180"/>
      <c r="BZ136" s="180"/>
      <c r="CA136" s="180"/>
      <c r="CB136" s="180"/>
      <c r="CC136" s="180"/>
      <c r="CD136" s="180"/>
      <c r="CE136" s="180"/>
      <c r="CF136" s="180"/>
      <c r="CG136" s="180"/>
      <c r="CH136" s="180"/>
      <c r="CI136" s="180"/>
      <c r="CJ136" s="180"/>
      <c r="CK136" s="180"/>
      <c r="CL136" s="180"/>
      <c r="CM136" s="180"/>
      <c r="CN136" s="180"/>
      <c r="CO136" s="180"/>
      <c r="CP136" s="180"/>
      <c r="CQ136" s="180"/>
      <c r="CR136" s="180"/>
      <c r="CS136" s="180"/>
      <c r="CT136" s="180"/>
      <c r="CU136" s="180"/>
      <c r="CV136" s="180"/>
      <c r="CW136" s="180"/>
      <c r="CX136" s="180"/>
      <c r="CY136" s="180"/>
      <c r="CZ136" s="180"/>
    </row>
    <row r="137" spans="1:104" x14ac:dyDescent="0.45">
      <c r="A137" s="180" t="s">
        <v>2</v>
      </c>
      <c r="B137" s="73">
        <v>5</v>
      </c>
      <c r="C137" s="73"/>
      <c r="D137" s="180" t="s">
        <v>309</v>
      </c>
      <c r="E137" s="39">
        <v>43588</v>
      </c>
      <c r="F137" s="179">
        <v>0.71527777777777779</v>
      </c>
      <c r="G137" s="180">
        <v>1</v>
      </c>
      <c r="H137" s="180"/>
      <c r="I137" s="180"/>
      <c r="J137" s="180"/>
      <c r="K137" s="180"/>
      <c r="L137" s="180"/>
      <c r="M137" s="180"/>
      <c r="N137" s="180"/>
      <c r="O137" s="180"/>
      <c r="P137" s="180"/>
      <c r="AS137" s="180"/>
      <c r="AT137" s="180"/>
      <c r="AU137" s="180"/>
      <c r="AV137" s="180"/>
      <c r="AW137" s="180"/>
      <c r="AX137" s="180"/>
      <c r="AY137" s="180"/>
      <c r="AZ137" s="180"/>
      <c r="BA137" s="180"/>
      <c r="BB137" s="180"/>
      <c r="BC137" s="180"/>
      <c r="BD137" s="180"/>
      <c r="BE137" s="180"/>
      <c r="BF137" s="180"/>
      <c r="BG137" s="180"/>
      <c r="BH137" s="180"/>
      <c r="BI137" s="180"/>
      <c r="BJ137" s="180"/>
      <c r="BK137" s="180"/>
      <c r="BL137" s="180"/>
      <c r="BM137" s="180"/>
      <c r="BN137" s="180"/>
      <c r="BO137" s="180"/>
      <c r="BP137" s="180"/>
      <c r="BQ137" s="180"/>
      <c r="BR137" s="180"/>
      <c r="BS137" s="180"/>
      <c r="BT137" s="180"/>
      <c r="BU137" s="180"/>
      <c r="BV137" s="180"/>
      <c r="BW137" s="180"/>
      <c r="BX137" s="180"/>
      <c r="BY137" s="180"/>
      <c r="BZ137" s="180"/>
      <c r="CA137" s="180"/>
      <c r="CB137" s="180"/>
      <c r="CC137" s="180"/>
      <c r="CD137" s="180"/>
      <c r="CE137" s="180"/>
      <c r="CF137" s="180"/>
      <c r="CG137" s="180"/>
      <c r="CH137" s="180"/>
      <c r="CI137" s="180"/>
      <c r="CJ137" s="180"/>
      <c r="CK137" s="180"/>
      <c r="CL137" s="180"/>
      <c r="CM137" s="180"/>
      <c r="CN137" s="180"/>
      <c r="CO137" s="180"/>
      <c r="CP137" s="180"/>
      <c r="CQ137" s="180"/>
      <c r="CR137" s="180"/>
      <c r="CS137" s="180"/>
      <c r="CT137" s="180"/>
      <c r="CU137" s="180"/>
      <c r="CV137" s="180"/>
      <c r="CW137" s="180"/>
      <c r="CX137" s="180"/>
      <c r="CY137" s="180"/>
      <c r="CZ137" s="180"/>
    </row>
    <row r="138" spans="1:104" x14ac:dyDescent="0.45">
      <c r="A138" s="180" t="s">
        <v>2</v>
      </c>
      <c r="B138" s="73">
        <v>7</v>
      </c>
      <c r="C138" s="73">
        <v>7</v>
      </c>
      <c r="D138" s="180" t="s">
        <v>309</v>
      </c>
      <c r="E138" s="39">
        <v>43588</v>
      </c>
      <c r="F138" s="179">
        <v>0.67708333333333337</v>
      </c>
      <c r="G138" s="180">
        <v>3</v>
      </c>
      <c r="H138" s="180" t="s">
        <v>312</v>
      </c>
      <c r="I138" s="180"/>
      <c r="J138" s="180"/>
      <c r="K138" s="180"/>
      <c r="L138" s="180"/>
      <c r="M138" s="180"/>
      <c r="N138" s="180"/>
      <c r="O138" s="180"/>
      <c r="P138" s="180"/>
      <c r="AS138" s="180"/>
      <c r="AT138" s="180"/>
      <c r="AU138" s="180"/>
      <c r="AV138" s="180"/>
      <c r="AW138" s="180"/>
      <c r="AX138" s="180"/>
      <c r="AY138" s="180"/>
      <c r="AZ138" s="180"/>
      <c r="BA138" s="180"/>
      <c r="BB138" s="180"/>
      <c r="BC138" s="180"/>
      <c r="BD138" s="180"/>
      <c r="BE138" s="180"/>
      <c r="BF138" s="180"/>
      <c r="BG138" s="180"/>
      <c r="BH138" s="180"/>
      <c r="BI138" s="180"/>
      <c r="BJ138" s="180"/>
      <c r="BK138" s="180"/>
      <c r="BL138" s="180"/>
      <c r="BM138" s="180"/>
      <c r="BN138" s="180"/>
      <c r="BO138" s="180"/>
      <c r="BP138" s="180"/>
      <c r="BQ138" s="180"/>
      <c r="BR138" s="180"/>
      <c r="BS138" s="180"/>
      <c r="BT138" s="180"/>
      <c r="BU138" s="180"/>
      <c r="BV138" s="180"/>
      <c r="BW138" s="180"/>
      <c r="BX138" s="180"/>
      <c r="BY138" s="180"/>
      <c r="BZ138" s="180"/>
      <c r="CA138" s="180"/>
      <c r="CB138" s="180"/>
      <c r="CC138" s="180"/>
      <c r="CD138" s="180"/>
      <c r="CE138" s="180"/>
      <c r="CF138" s="180"/>
      <c r="CG138" s="180"/>
      <c r="CH138" s="180"/>
      <c r="CI138" s="180"/>
      <c r="CJ138" s="180"/>
      <c r="CK138" s="180"/>
      <c r="CL138" s="180"/>
      <c r="CM138" s="180"/>
      <c r="CN138" s="180"/>
      <c r="CO138" s="180"/>
      <c r="CP138" s="180"/>
      <c r="CQ138" s="180"/>
      <c r="CR138" s="180"/>
      <c r="CS138" s="180"/>
      <c r="CT138" s="180"/>
      <c r="CU138" s="180"/>
      <c r="CV138" s="180"/>
      <c r="CW138" s="180"/>
      <c r="CX138" s="180"/>
      <c r="CY138" s="180"/>
      <c r="CZ138" s="180"/>
    </row>
    <row r="139" spans="1:104" x14ac:dyDescent="0.45">
      <c r="A139" s="180" t="s">
        <v>2</v>
      </c>
      <c r="B139" s="73">
        <v>4</v>
      </c>
      <c r="C139" s="73"/>
      <c r="D139" s="180" t="s">
        <v>128</v>
      </c>
      <c r="E139" s="39">
        <v>43589</v>
      </c>
      <c r="F139" s="179">
        <v>0.62777777777777777</v>
      </c>
      <c r="G139" s="180">
        <v>1</v>
      </c>
      <c r="H139" s="180"/>
      <c r="I139" s="180"/>
      <c r="J139" s="180"/>
      <c r="K139" s="180"/>
      <c r="L139" s="180"/>
      <c r="M139" s="180"/>
      <c r="N139" s="180"/>
      <c r="O139" s="180"/>
      <c r="P139" s="180"/>
      <c r="AS139" s="180"/>
      <c r="AT139" s="180"/>
      <c r="AU139" s="180"/>
      <c r="AV139" s="180"/>
      <c r="AW139" s="180"/>
      <c r="AX139" s="180"/>
      <c r="AY139" s="180"/>
      <c r="AZ139" s="180"/>
      <c r="BA139" s="180"/>
      <c r="BB139" s="180"/>
      <c r="BC139" s="180"/>
      <c r="BD139" s="180"/>
      <c r="BE139" s="180"/>
      <c r="BF139" s="180"/>
      <c r="BG139" s="180"/>
      <c r="BH139" s="180"/>
      <c r="BI139" s="180"/>
      <c r="BJ139" s="180"/>
      <c r="BK139" s="180"/>
      <c r="BL139" s="180"/>
      <c r="BM139" s="180"/>
      <c r="BN139" s="180"/>
      <c r="BO139" s="180"/>
      <c r="BP139" s="180"/>
      <c r="BQ139" s="180"/>
      <c r="BR139" s="180"/>
      <c r="BS139" s="180"/>
      <c r="BT139" s="180"/>
      <c r="BU139" s="180"/>
      <c r="BV139" s="180"/>
      <c r="BW139" s="180"/>
      <c r="BX139" s="180"/>
      <c r="BY139" s="180"/>
      <c r="BZ139" s="180"/>
      <c r="CA139" s="180"/>
      <c r="CB139" s="180"/>
      <c r="CC139" s="180"/>
      <c r="CD139" s="180"/>
      <c r="CE139" s="180"/>
      <c r="CF139" s="180"/>
      <c r="CG139" s="180"/>
      <c r="CH139" s="180"/>
      <c r="CI139" s="180"/>
      <c r="CJ139" s="180"/>
      <c r="CK139" s="180"/>
      <c r="CL139" s="180"/>
      <c r="CM139" s="180"/>
      <c r="CN139" s="180"/>
      <c r="CO139" s="180"/>
      <c r="CP139" s="180"/>
      <c r="CQ139" s="180"/>
      <c r="CR139" s="180"/>
      <c r="CS139" s="180"/>
      <c r="CT139" s="180"/>
      <c r="CU139" s="180"/>
      <c r="CV139" s="180"/>
      <c r="CW139" s="180"/>
      <c r="CX139" s="180"/>
      <c r="CY139" s="180"/>
      <c r="CZ139" s="180"/>
    </row>
    <row r="140" spans="1:104" x14ac:dyDescent="0.45">
      <c r="A140" s="180" t="s">
        <v>2</v>
      </c>
      <c r="B140" s="73">
        <v>5</v>
      </c>
      <c r="C140" s="73">
        <v>5</v>
      </c>
      <c r="D140" s="180" t="s">
        <v>317</v>
      </c>
      <c r="E140" s="39">
        <v>43589</v>
      </c>
      <c r="F140" s="179">
        <v>0.6333333333333333</v>
      </c>
      <c r="G140" s="180">
        <v>1</v>
      </c>
      <c r="H140" s="180"/>
      <c r="I140" s="180"/>
      <c r="J140" s="180"/>
      <c r="K140" s="180"/>
      <c r="L140" s="180"/>
      <c r="M140" s="180"/>
      <c r="N140" s="180"/>
      <c r="O140" s="180"/>
      <c r="P140" s="180"/>
      <c r="AS140" s="180"/>
      <c r="AT140" s="180"/>
      <c r="AU140" s="180"/>
      <c r="AV140" s="180"/>
      <c r="AW140" s="180"/>
      <c r="AX140" s="180"/>
      <c r="AY140" s="180"/>
      <c r="AZ140" s="180"/>
      <c r="BA140" s="180"/>
      <c r="BB140" s="180"/>
      <c r="BC140" s="180"/>
      <c r="BD140" s="180"/>
      <c r="BE140" s="180"/>
      <c r="BF140" s="180"/>
      <c r="BG140" s="180"/>
      <c r="BH140" s="180"/>
      <c r="BI140" s="180"/>
      <c r="BJ140" s="180"/>
      <c r="BK140" s="180"/>
      <c r="BL140" s="180"/>
      <c r="BM140" s="180"/>
      <c r="BN140" s="180"/>
      <c r="BO140" s="180"/>
      <c r="BP140" s="180"/>
      <c r="BQ140" s="180"/>
      <c r="BR140" s="180"/>
      <c r="BS140" s="180"/>
      <c r="BT140" s="180"/>
      <c r="BU140" s="180"/>
      <c r="BV140" s="180"/>
      <c r="BW140" s="180"/>
      <c r="BX140" s="180"/>
      <c r="BY140" s="180"/>
      <c r="BZ140" s="180"/>
      <c r="CA140" s="180"/>
      <c r="CB140" s="180"/>
      <c r="CC140" s="180"/>
      <c r="CD140" s="180"/>
      <c r="CE140" s="180"/>
      <c r="CF140" s="180"/>
      <c r="CG140" s="180"/>
      <c r="CH140" s="180"/>
      <c r="CI140" s="180"/>
      <c r="CJ140" s="180"/>
      <c r="CK140" s="180"/>
      <c r="CL140" s="180"/>
      <c r="CM140" s="180"/>
      <c r="CN140" s="180"/>
      <c r="CO140" s="180"/>
      <c r="CP140" s="180"/>
      <c r="CQ140" s="180"/>
      <c r="CR140" s="180"/>
      <c r="CS140" s="180"/>
      <c r="CT140" s="180"/>
      <c r="CU140" s="180"/>
      <c r="CV140" s="180"/>
      <c r="CW140" s="180"/>
      <c r="CX140" s="180"/>
      <c r="CY140" s="180"/>
      <c r="CZ140" s="180"/>
    </row>
    <row r="141" spans="1:104" x14ac:dyDescent="0.45">
      <c r="A141" s="180" t="s">
        <v>2</v>
      </c>
      <c r="B141" s="73">
        <v>5</v>
      </c>
      <c r="C141" s="73">
        <v>5</v>
      </c>
      <c r="D141" s="180" t="s">
        <v>309</v>
      </c>
      <c r="E141" s="39">
        <v>43589</v>
      </c>
      <c r="F141" s="179">
        <v>0.54166666666666663</v>
      </c>
      <c r="G141" s="180">
        <v>2</v>
      </c>
      <c r="H141" s="180"/>
      <c r="I141" s="180"/>
      <c r="J141" s="180"/>
      <c r="K141" s="180"/>
      <c r="L141" s="180"/>
      <c r="M141" s="180"/>
      <c r="N141" s="180"/>
      <c r="O141" s="180"/>
      <c r="P141" s="180"/>
      <c r="AS141" s="180"/>
      <c r="AT141" s="180"/>
      <c r="AU141" s="180"/>
      <c r="AV141" s="180"/>
      <c r="AW141" s="180"/>
      <c r="AX141" s="180"/>
      <c r="AY141" s="180"/>
      <c r="AZ141" s="180"/>
      <c r="BA141" s="180"/>
      <c r="BB141" s="180"/>
      <c r="BC141" s="180"/>
      <c r="BD141" s="180"/>
      <c r="BE141" s="180"/>
      <c r="BF141" s="180"/>
      <c r="BG141" s="180"/>
      <c r="BH141" s="180"/>
      <c r="BI141" s="180"/>
      <c r="BJ141" s="180"/>
      <c r="BK141" s="180"/>
      <c r="BL141" s="180"/>
      <c r="BM141" s="180"/>
      <c r="BN141" s="180"/>
      <c r="BO141" s="180"/>
      <c r="BP141" s="180"/>
      <c r="BQ141" s="180"/>
      <c r="BR141" s="180"/>
      <c r="BS141" s="180"/>
      <c r="BT141" s="180"/>
      <c r="BU141" s="180"/>
      <c r="BV141" s="180"/>
      <c r="BW141" s="180"/>
      <c r="BX141" s="180"/>
      <c r="BY141" s="180"/>
      <c r="BZ141" s="180"/>
      <c r="CA141" s="180"/>
      <c r="CB141" s="180"/>
      <c r="CC141" s="180"/>
      <c r="CD141" s="180"/>
      <c r="CE141" s="180"/>
      <c r="CF141" s="180"/>
      <c r="CG141" s="180"/>
      <c r="CH141" s="180"/>
      <c r="CI141" s="180"/>
      <c r="CJ141" s="180"/>
      <c r="CK141" s="180"/>
      <c r="CL141" s="180"/>
      <c r="CM141" s="180"/>
      <c r="CN141" s="180"/>
      <c r="CO141" s="180"/>
      <c r="CP141" s="180"/>
      <c r="CQ141" s="180"/>
      <c r="CR141" s="180"/>
      <c r="CS141" s="180"/>
      <c r="CT141" s="180"/>
      <c r="CU141" s="180"/>
      <c r="CV141" s="180"/>
      <c r="CW141" s="180"/>
      <c r="CX141" s="180"/>
      <c r="CY141" s="180"/>
      <c r="CZ141" s="180"/>
    </row>
    <row r="142" spans="1:104" x14ac:dyDescent="0.45">
      <c r="A142" s="180" t="s">
        <v>2</v>
      </c>
      <c r="B142" s="73">
        <v>18</v>
      </c>
      <c r="C142" s="73">
        <v>18</v>
      </c>
      <c r="D142" s="180" t="s">
        <v>128</v>
      </c>
      <c r="E142" s="39">
        <v>43590</v>
      </c>
      <c r="F142" s="179">
        <v>0.54861111111111105</v>
      </c>
      <c r="G142" s="180">
        <v>2</v>
      </c>
      <c r="H142" s="180"/>
      <c r="I142" s="180"/>
      <c r="J142" s="180"/>
      <c r="K142" s="180"/>
      <c r="L142" s="180"/>
      <c r="M142" s="180"/>
      <c r="N142" s="180"/>
      <c r="O142" s="180"/>
      <c r="P142" s="180"/>
      <c r="AS142" s="180"/>
      <c r="AT142" s="180"/>
      <c r="AU142" s="180"/>
      <c r="AV142" s="180"/>
      <c r="AW142" s="180"/>
      <c r="AX142" s="180"/>
      <c r="AY142" s="180"/>
      <c r="AZ142" s="180"/>
      <c r="BA142" s="180"/>
      <c r="BB142" s="180"/>
      <c r="BC142" s="180"/>
      <c r="BD142" s="180"/>
      <c r="BE142" s="180"/>
      <c r="BF142" s="180"/>
      <c r="BG142" s="180"/>
      <c r="BH142" s="180"/>
      <c r="BI142" s="180"/>
      <c r="BJ142" s="180"/>
      <c r="BK142" s="180"/>
      <c r="BL142" s="180"/>
      <c r="BM142" s="180"/>
      <c r="BN142" s="180"/>
      <c r="BO142" s="180"/>
      <c r="BP142" s="180"/>
      <c r="BQ142" s="180"/>
      <c r="BR142" s="180"/>
      <c r="BS142" s="180"/>
      <c r="BT142" s="180"/>
      <c r="BU142" s="180"/>
      <c r="BV142" s="180"/>
      <c r="BW142" s="180"/>
      <c r="BX142" s="180"/>
      <c r="BY142" s="180"/>
      <c r="BZ142" s="180"/>
      <c r="CA142" s="180"/>
      <c r="CB142" s="180"/>
      <c r="CC142" s="180"/>
      <c r="CD142" s="180"/>
      <c r="CE142" s="180"/>
      <c r="CF142" s="180"/>
      <c r="CG142" s="180"/>
      <c r="CH142" s="180"/>
      <c r="CI142" s="180"/>
      <c r="CJ142" s="180"/>
      <c r="CK142" s="180"/>
      <c r="CL142" s="180"/>
      <c r="CM142" s="180"/>
      <c r="CN142" s="180"/>
      <c r="CO142" s="180"/>
      <c r="CP142" s="180"/>
      <c r="CQ142" s="180"/>
      <c r="CR142" s="180"/>
      <c r="CS142" s="180"/>
      <c r="CT142" s="180"/>
      <c r="CU142" s="180"/>
      <c r="CV142" s="180"/>
      <c r="CW142" s="180"/>
      <c r="CX142" s="180"/>
      <c r="CY142" s="180"/>
      <c r="CZ142" s="180"/>
    </row>
    <row r="143" spans="1:104" x14ac:dyDescent="0.45">
      <c r="A143" s="180" t="s">
        <v>2</v>
      </c>
      <c r="B143" s="73">
        <v>17</v>
      </c>
      <c r="C143" s="73"/>
      <c r="D143" s="180" t="s">
        <v>128</v>
      </c>
      <c r="E143" s="39">
        <v>43590</v>
      </c>
      <c r="F143" s="179">
        <v>0.54027777777777775</v>
      </c>
      <c r="G143" s="180">
        <v>1</v>
      </c>
      <c r="H143" s="180"/>
      <c r="I143" s="180"/>
      <c r="J143" s="180"/>
      <c r="K143" s="180"/>
      <c r="L143" s="180"/>
      <c r="M143" s="180"/>
      <c r="N143" s="180"/>
      <c r="O143" s="180"/>
      <c r="P143" s="180"/>
      <c r="AS143" s="180"/>
      <c r="AT143" s="180"/>
      <c r="AU143" s="180"/>
      <c r="AV143" s="180"/>
      <c r="AW143" s="180"/>
      <c r="AX143" s="180"/>
      <c r="AY143" s="180"/>
      <c r="AZ143" s="180"/>
      <c r="BA143" s="180"/>
      <c r="BB143" s="180"/>
      <c r="BC143" s="180"/>
      <c r="BD143" s="180"/>
      <c r="BE143" s="180"/>
      <c r="BF143" s="180"/>
      <c r="BG143" s="180"/>
      <c r="BH143" s="180"/>
      <c r="BI143" s="180"/>
      <c r="BJ143" s="180"/>
      <c r="BK143" s="180"/>
      <c r="BL143" s="180"/>
      <c r="BM143" s="180"/>
      <c r="BN143" s="180"/>
      <c r="BO143" s="180"/>
      <c r="BP143" s="180"/>
      <c r="BQ143" s="180"/>
      <c r="BR143" s="180"/>
      <c r="BS143" s="180"/>
      <c r="BT143" s="180"/>
      <c r="BU143" s="180"/>
      <c r="BV143" s="180"/>
      <c r="BW143" s="180"/>
      <c r="BX143" s="180"/>
      <c r="BY143" s="180"/>
      <c r="BZ143" s="180"/>
      <c r="CA143" s="180"/>
      <c r="CB143" s="180"/>
      <c r="CC143" s="180"/>
      <c r="CD143" s="180"/>
      <c r="CE143" s="180"/>
      <c r="CF143" s="180"/>
      <c r="CG143" s="180"/>
      <c r="CH143" s="180"/>
      <c r="CI143" s="180"/>
      <c r="CJ143" s="180"/>
      <c r="CK143" s="180"/>
      <c r="CL143" s="180"/>
      <c r="CM143" s="180"/>
      <c r="CN143" s="180"/>
      <c r="CO143" s="180"/>
      <c r="CP143" s="180"/>
      <c r="CQ143" s="180"/>
      <c r="CR143" s="180"/>
      <c r="CS143" s="180"/>
      <c r="CT143" s="180"/>
      <c r="CU143" s="180"/>
      <c r="CV143" s="180"/>
      <c r="CW143" s="180"/>
      <c r="CX143" s="180"/>
      <c r="CY143" s="180"/>
      <c r="CZ143" s="180"/>
    </row>
    <row r="144" spans="1:104" x14ac:dyDescent="0.45">
      <c r="A144" s="180" t="s">
        <v>2</v>
      </c>
      <c r="B144" s="73">
        <v>2</v>
      </c>
      <c r="C144" s="73">
        <v>2</v>
      </c>
      <c r="D144" s="180" t="s">
        <v>315</v>
      </c>
      <c r="E144" s="39">
        <v>43593</v>
      </c>
      <c r="F144" s="179">
        <v>0.80208333333333337</v>
      </c>
      <c r="G144" s="180">
        <v>3</v>
      </c>
      <c r="H144" s="180" t="s">
        <v>316</v>
      </c>
      <c r="I144" s="180"/>
      <c r="J144" s="180"/>
      <c r="K144" s="180"/>
      <c r="L144" s="180"/>
      <c r="M144" s="180"/>
      <c r="N144" s="180"/>
      <c r="O144" s="180"/>
      <c r="P144" s="180"/>
      <c r="AS144" s="180"/>
      <c r="AT144" s="180"/>
      <c r="AU144" s="180"/>
      <c r="AV144" s="180"/>
      <c r="AW144" s="180"/>
      <c r="AX144" s="180"/>
      <c r="AY144" s="180"/>
      <c r="AZ144" s="180"/>
      <c r="BA144" s="180"/>
      <c r="BB144" s="180"/>
      <c r="BC144" s="180"/>
      <c r="BD144" s="180"/>
      <c r="BE144" s="180"/>
      <c r="BF144" s="180"/>
      <c r="BG144" s="180"/>
      <c r="BH144" s="180"/>
      <c r="BI144" s="180"/>
      <c r="BJ144" s="180"/>
      <c r="BK144" s="180"/>
      <c r="BL144" s="180"/>
      <c r="BM144" s="180"/>
      <c r="BN144" s="180"/>
      <c r="BO144" s="180"/>
      <c r="BP144" s="180"/>
      <c r="BQ144" s="180"/>
      <c r="BR144" s="180"/>
      <c r="BS144" s="180"/>
      <c r="BT144" s="180"/>
      <c r="BU144" s="180"/>
      <c r="BV144" s="180"/>
      <c r="BW144" s="180"/>
      <c r="BX144" s="180"/>
      <c r="BY144" s="180"/>
      <c r="BZ144" s="180"/>
      <c r="CA144" s="180"/>
      <c r="CB144" s="180"/>
      <c r="CC144" s="180"/>
      <c r="CD144" s="180"/>
      <c r="CE144" s="180"/>
      <c r="CF144" s="180"/>
      <c r="CG144" s="180"/>
      <c r="CH144" s="180"/>
      <c r="CI144" s="180"/>
      <c r="CJ144" s="180"/>
      <c r="CK144" s="180"/>
      <c r="CL144" s="180"/>
      <c r="CM144" s="180"/>
      <c r="CN144" s="180"/>
      <c r="CO144" s="180"/>
      <c r="CP144" s="180"/>
      <c r="CQ144" s="180"/>
      <c r="CR144" s="180"/>
      <c r="CS144" s="180"/>
      <c r="CT144" s="180"/>
      <c r="CU144" s="180"/>
      <c r="CV144" s="180"/>
      <c r="CW144" s="180"/>
      <c r="CX144" s="180"/>
      <c r="CY144" s="180"/>
      <c r="CZ144" s="180"/>
    </row>
    <row r="145" spans="1:104" x14ac:dyDescent="0.45">
      <c r="A145" s="180" t="s">
        <v>2</v>
      </c>
      <c r="B145" s="73">
        <v>3</v>
      </c>
      <c r="C145" s="73"/>
      <c r="D145" s="180" t="s">
        <v>317</v>
      </c>
      <c r="E145" s="39">
        <v>43593</v>
      </c>
      <c r="F145" s="179">
        <v>0.71597222222222223</v>
      </c>
      <c r="G145" s="180">
        <v>2</v>
      </c>
      <c r="H145" s="180"/>
      <c r="I145" s="180"/>
      <c r="J145" s="180"/>
      <c r="K145" s="180"/>
      <c r="L145" s="180"/>
      <c r="M145" s="180"/>
      <c r="N145" s="180"/>
      <c r="O145" s="180"/>
      <c r="P145" s="180"/>
      <c r="AS145" s="180"/>
      <c r="AT145" s="180"/>
      <c r="AU145" s="180"/>
      <c r="AV145" s="180"/>
      <c r="AW145" s="180"/>
      <c r="AX145" s="180"/>
      <c r="AY145" s="180"/>
      <c r="AZ145" s="180"/>
      <c r="BA145" s="180"/>
      <c r="BB145" s="180"/>
      <c r="BC145" s="180"/>
      <c r="BD145" s="180"/>
      <c r="BE145" s="180"/>
      <c r="BF145" s="180"/>
      <c r="BG145" s="180"/>
      <c r="BH145" s="180"/>
      <c r="BI145" s="180"/>
      <c r="BJ145" s="180"/>
      <c r="BK145" s="180"/>
      <c r="BL145" s="180"/>
      <c r="BM145" s="180"/>
      <c r="BN145" s="180"/>
      <c r="BO145" s="180"/>
      <c r="BP145" s="180"/>
      <c r="BQ145" s="180"/>
      <c r="BR145" s="180"/>
      <c r="BS145" s="180"/>
      <c r="BT145" s="180"/>
      <c r="BU145" s="180"/>
      <c r="BV145" s="180"/>
      <c r="BW145" s="180"/>
      <c r="BX145" s="180"/>
      <c r="BY145" s="180"/>
      <c r="BZ145" s="180"/>
      <c r="CA145" s="180"/>
      <c r="CB145" s="180"/>
      <c r="CC145" s="180"/>
      <c r="CD145" s="180"/>
      <c r="CE145" s="180"/>
      <c r="CF145" s="180"/>
      <c r="CG145" s="180"/>
      <c r="CH145" s="180"/>
      <c r="CI145" s="180"/>
      <c r="CJ145" s="180"/>
      <c r="CK145" s="180"/>
      <c r="CL145" s="180"/>
      <c r="CM145" s="180"/>
      <c r="CN145" s="180"/>
      <c r="CO145" s="180"/>
      <c r="CP145" s="180"/>
      <c r="CQ145" s="180"/>
      <c r="CR145" s="180"/>
      <c r="CS145" s="180"/>
      <c r="CT145" s="180"/>
      <c r="CU145" s="180"/>
      <c r="CV145" s="180"/>
      <c r="CW145" s="180"/>
      <c r="CX145" s="180"/>
      <c r="CY145" s="180"/>
      <c r="CZ145" s="180"/>
    </row>
    <row r="146" spans="1:104" x14ac:dyDescent="0.45">
      <c r="A146" s="180" t="s">
        <v>2</v>
      </c>
      <c r="B146" s="73">
        <v>4</v>
      </c>
      <c r="C146" s="73"/>
      <c r="D146" s="180" t="s">
        <v>317</v>
      </c>
      <c r="E146" s="39">
        <v>43593</v>
      </c>
      <c r="F146" s="179">
        <v>0.79722222222222217</v>
      </c>
      <c r="G146" s="180">
        <v>7</v>
      </c>
      <c r="H146" s="180"/>
      <c r="I146" s="180"/>
      <c r="J146" s="180"/>
      <c r="K146" s="180"/>
      <c r="L146" s="180"/>
      <c r="M146" s="180"/>
      <c r="N146" s="180"/>
      <c r="O146" s="180"/>
      <c r="P146" s="180"/>
      <c r="AS146" s="180"/>
      <c r="AT146" s="180"/>
      <c r="AU146" s="180"/>
      <c r="AV146" s="180"/>
      <c r="AW146" s="180"/>
      <c r="AX146" s="180"/>
      <c r="AY146" s="180"/>
      <c r="AZ146" s="180"/>
      <c r="BA146" s="180"/>
      <c r="BB146" s="180"/>
      <c r="BC146" s="180"/>
      <c r="BD146" s="180"/>
      <c r="BE146" s="180"/>
      <c r="BF146" s="180"/>
      <c r="BG146" s="180"/>
      <c r="BH146" s="180"/>
      <c r="BI146" s="180"/>
      <c r="BJ146" s="180"/>
      <c r="BK146" s="180"/>
      <c r="BL146" s="180"/>
      <c r="BM146" s="180"/>
      <c r="BN146" s="180"/>
      <c r="BO146" s="180"/>
      <c r="BP146" s="180"/>
      <c r="BQ146" s="180"/>
      <c r="BR146" s="180"/>
      <c r="BS146" s="180"/>
      <c r="BT146" s="180"/>
      <c r="BU146" s="180"/>
      <c r="BV146" s="180"/>
      <c r="BW146" s="180"/>
      <c r="BX146" s="180"/>
      <c r="BY146" s="180"/>
      <c r="BZ146" s="180"/>
      <c r="CA146" s="180"/>
      <c r="CB146" s="180"/>
      <c r="CC146" s="180"/>
      <c r="CD146" s="180"/>
      <c r="CE146" s="180"/>
      <c r="CF146" s="180"/>
      <c r="CG146" s="180"/>
      <c r="CH146" s="180"/>
      <c r="CI146" s="180"/>
      <c r="CJ146" s="180"/>
      <c r="CK146" s="180"/>
      <c r="CL146" s="180"/>
      <c r="CM146" s="180"/>
      <c r="CN146" s="180"/>
      <c r="CO146" s="180"/>
      <c r="CP146" s="180"/>
      <c r="CQ146" s="180"/>
      <c r="CR146" s="180"/>
      <c r="CS146" s="180"/>
      <c r="CT146" s="180"/>
      <c r="CU146" s="180"/>
      <c r="CV146" s="180"/>
      <c r="CW146" s="180"/>
      <c r="CX146" s="180"/>
      <c r="CY146" s="180"/>
      <c r="CZ146" s="180"/>
    </row>
    <row r="147" spans="1:104" x14ac:dyDescent="0.45">
      <c r="A147" s="180" t="s">
        <v>2</v>
      </c>
      <c r="B147" s="73">
        <v>3</v>
      </c>
      <c r="C147" s="73"/>
      <c r="D147" s="180" t="s">
        <v>317</v>
      </c>
      <c r="E147" s="39">
        <v>43593</v>
      </c>
      <c r="F147" s="179">
        <v>0.71597222222222223</v>
      </c>
      <c r="G147" s="180">
        <v>2</v>
      </c>
      <c r="H147" s="180"/>
      <c r="I147" s="180"/>
      <c r="J147" s="180"/>
      <c r="K147" s="180"/>
      <c r="L147" s="180"/>
      <c r="M147" s="180"/>
      <c r="N147" s="180"/>
      <c r="O147" s="180"/>
      <c r="P147" s="180"/>
      <c r="AS147" s="180"/>
      <c r="AT147" s="180"/>
      <c r="AU147" s="180"/>
      <c r="AV147" s="180"/>
      <c r="AW147" s="180"/>
      <c r="AX147" s="180"/>
      <c r="AY147" s="180"/>
      <c r="AZ147" s="180"/>
      <c r="BA147" s="180"/>
      <c r="BB147" s="180"/>
      <c r="BC147" s="180"/>
      <c r="BD147" s="180"/>
      <c r="BE147" s="180"/>
      <c r="BF147" s="180"/>
      <c r="BG147" s="180"/>
      <c r="BH147" s="180"/>
      <c r="BI147" s="180"/>
      <c r="BJ147" s="180"/>
      <c r="BK147" s="180"/>
      <c r="BL147" s="180"/>
      <c r="BM147" s="180"/>
      <c r="BN147" s="180"/>
      <c r="BO147" s="180"/>
      <c r="BP147" s="180"/>
      <c r="BQ147" s="180"/>
      <c r="BR147" s="180"/>
      <c r="BS147" s="180"/>
      <c r="BT147" s="180"/>
      <c r="BU147" s="180"/>
      <c r="BV147" s="180"/>
      <c r="BW147" s="180"/>
      <c r="BX147" s="180"/>
      <c r="BY147" s="180"/>
      <c r="BZ147" s="180"/>
      <c r="CA147" s="180"/>
      <c r="CB147" s="180"/>
      <c r="CC147" s="180"/>
      <c r="CD147" s="180"/>
      <c r="CE147" s="180"/>
      <c r="CF147" s="180"/>
      <c r="CG147" s="180"/>
      <c r="CH147" s="180"/>
      <c r="CI147" s="180"/>
      <c r="CJ147" s="180"/>
      <c r="CK147" s="180"/>
      <c r="CL147" s="180"/>
      <c r="CM147" s="180"/>
      <c r="CN147" s="180"/>
      <c r="CO147" s="180"/>
      <c r="CP147" s="180"/>
      <c r="CQ147" s="180"/>
      <c r="CR147" s="180"/>
      <c r="CS147" s="180"/>
      <c r="CT147" s="180"/>
      <c r="CU147" s="180"/>
      <c r="CV147" s="180"/>
      <c r="CW147" s="180"/>
      <c r="CX147" s="180"/>
      <c r="CY147" s="180"/>
      <c r="CZ147" s="180"/>
    </row>
    <row r="148" spans="1:104" x14ac:dyDescent="0.45">
      <c r="A148" s="180" t="s">
        <v>2</v>
      </c>
      <c r="B148" s="73">
        <v>3</v>
      </c>
      <c r="C148" s="73"/>
      <c r="D148" s="180" t="s">
        <v>317</v>
      </c>
      <c r="E148" s="39">
        <v>43593</v>
      </c>
      <c r="F148" s="179">
        <v>0.71597222222222223</v>
      </c>
      <c r="G148" s="180">
        <v>2</v>
      </c>
      <c r="H148" s="180"/>
      <c r="I148" s="180"/>
      <c r="J148" s="180"/>
      <c r="K148" s="180"/>
      <c r="L148" s="180"/>
      <c r="M148" s="180"/>
      <c r="N148" s="180"/>
      <c r="O148" s="180"/>
      <c r="P148" s="180"/>
      <c r="AS148" s="180"/>
      <c r="AT148" s="180"/>
      <c r="AU148" s="180"/>
      <c r="AV148" s="180"/>
      <c r="AW148" s="180"/>
      <c r="AX148" s="180"/>
      <c r="AY148" s="180"/>
      <c r="AZ148" s="180"/>
      <c r="BA148" s="180"/>
      <c r="BB148" s="180"/>
      <c r="BC148" s="180"/>
      <c r="BD148" s="180"/>
      <c r="BE148" s="180"/>
      <c r="BF148" s="180"/>
      <c r="BG148" s="180"/>
      <c r="BH148" s="180"/>
      <c r="BI148" s="180"/>
      <c r="BJ148" s="180"/>
      <c r="BK148" s="180"/>
      <c r="BL148" s="180"/>
      <c r="BM148" s="180"/>
      <c r="BN148" s="180"/>
      <c r="BO148" s="180"/>
      <c r="BP148" s="180"/>
      <c r="BQ148" s="180"/>
      <c r="BR148" s="180"/>
      <c r="BS148" s="180"/>
      <c r="BT148" s="180"/>
      <c r="BU148" s="180"/>
      <c r="BV148" s="180"/>
      <c r="BW148" s="180"/>
      <c r="BX148" s="180"/>
      <c r="BY148" s="180"/>
      <c r="BZ148" s="180"/>
      <c r="CA148" s="180"/>
      <c r="CB148" s="180"/>
      <c r="CC148" s="180"/>
      <c r="CD148" s="180"/>
      <c r="CE148" s="180"/>
      <c r="CF148" s="180"/>
      <c r="CG148" s="180"/>
      <c r="CH148" s="180"/>
      <c r="CI148" s="180"/>
      <c r="CJ148" s="180"/>
      <c r="CK148" s="180"/>
      <c r="CL148" s="180"/>
      <c r="CM148" s="180"/>
      <c r="CN148" s="180"/>
      <c r="CO148" s="180"/>
      <c r="CP148" s="180"/>
      <c r="CQ148" s="180"/>
      <c r="CR148" s="180"/>
      <c r="CS148" s="180"/>
      <c r="CT148" s="180"/>
      <c r="CU148" s="180"/>
      <c r="CV148" s="180"/>
      <c r="CW148" s="180"/>
      <c r="CX148" s="180"/>
      <c r="CY148" s="180"/>
      <c r="CZ148" s="180"/>
    </row>
    <row r="149" spans="1:104" x14ac:dyDescent="0.45">
      <c r="A149" s="180" t="s">
        <v>2</v>
      </c>
      <c r="B149" s="73">
        <v>9</v>
      </c>
      <c r="C149" s="73">
        <v>9</v>
      </c>
      <c r="D149" s="180" t="s">
        <v>311</v>
      </c>
      <c r="E149" s="39">
        <v>43593</v>
      </c>
      <c r="F149" s="179">
        <v>0.80208333333333337</v>
      </c>
      <c r="G149" s="180">
        <v>7</v>
      </c>
      <c r="H149" s="180" t="s">
        <v>280</v>
      </c>
      <c r="I149" s="180"/>
      <c r="J149" s="180"/>
      <c r="K149" s="180"/>
      <c r="L149" s="180"/>
      <c r="M149" s="180"/>
      <c r="N149" s="180"/>
      <c r="O149" s="180"/>
      <c r="P149" s="180"/>
      <c r="AS149" s="180"/>
      <c r="AT149" s="180"/>
      <c r="AU149" s="180"/>
      <c r="AV149" s="180"/>
      <c r="AW149" s="180"/>
      <c r="AX149" s="180"/>
      <c r="AY149" s="180"/>
      <c r="AZ149" s="180"/>
      <c r="BA149" s="180"/>
      <c r="BB149" s="180"/>
      <c r="BC149" s="180"/>
      <c r="BD149" s="180"/>
      <c r="BE149" s="180"/>
      <c r="BF149" s="180"/>
      <c r="BG149" s="180"/>
      <c r="BH149" s="180"/>
      <c r="BI149" s="180"/>
      <c r="BJ149" s="180"/>
      <c r="BK149" s="180"/>
      <c r="BL149" s="180"/>
      <c r="BM149" s="180"/>
      <c r="BN149" s="180"/>
      <c r="BO149" s="180"/>
      <c r="BP149" s="180"/>
      <c r="BQ149" s="180"/>
      <c r="BR149" s="180"/>
      <c r="BS149" s="180"/>
      <c r="BT149" s="180"/>
      <c r="BU149" s="180"/>
      <c r="BV149" s="180"/>
      <c r="BW149" s="180"/>
      <c r="BX149" s="180"/>
      <c r="BY149" s="180"/>
      <c r="BZ149" s="180"/>
      <c r="CA149" s="180"/>
      <c r="CB149" s="180"/>
      <c r="CC149" s="180"/>
      <c r="CD149" s="180"/>
      <c r="CE149" s="180"/>
      <c r="CF149" s="180"/>
      <c r="CG149" s="180"/>
      <c r="CH149" s="180"/>
      <c r="CI149" s="180"/>
      <c r="CJ149" s="180"/>
      <c r="CK149" s="180"/>
      <c r="CL149" s="180"/>
      <c r="CM149" s="180"/>
      <c r="CN149" s="180"/>
      <c r="CO149" s="180"/>
      <c r="CP149" s="180"/>
      <c r="CQ149" s="180"/>
      <c r="CR149" s="180"/>
      <c r="CS149" s="180"/>
      <c r="CT149" s="180"/>
      <c r="CU149" s="180"/>
      <c r="CV149" s="180"/>
      <c r="CW149" s="180"/>
      <c r="CX149" s="180"/>
      <c r="CY149" s="180"/>
      <c r="CZ149" s="180"/>
    </row>
    <row r="150" spans="1:104" x14ac:dyDescent="0.45">
      <c r="A150" s="180" t="s">
        <v>2</v>
      </c>
      <c r="B150" s="73">
        <v>6</v>
      </c>
      <c r="C150" s="73"/>
      <c r="D150" s="180" t="s">
        <v>309</v>
      </c>
      <c r="E150" s="39">
        <v>43593</v>
      </c>
      <c r="F150" s="179">
        <v>0.78680555555555554</v>
      </c>
      <c r="G150" s="180">
        <v>1</v>
      </c>
      <c r="H150" s="180"/>
      <c r="I150" s="180"/>
      <c r="J150" s="180"/>
      <c r="K150" s="180"/>
      <c r="L150" s="180"/>
      <c r="M150" s="180"/>
      <c r="N150" s="180"/>
      <c r="O150" s="180"/>
      <c r="P150" s="180"/>
      <c r="AS150" s="180"/>
      <c r="AT150" s="180"/>
      <c r="AU150" s="180"/>
      <c r="AV150" s="180"/>
      <c r="AW150" s="180"/>
      <c r="AX150" s="180"/>
      <c r="AY150" s="180"/>
      <c r="AZ150" s="180"/>
      <c r="BA150" s="180"/>
      <c r="BB150" s="180"/>
      <c r="BC150" s="180"/>
      <c r="BD150" s="180"/>
      <c r="BE150" s="180"/>
      <c r="BF150" s="180"/>
      <c r="BG150" s="180"/>
      <c r="BH150" s="180"/>
      <c r="BI150" s="180"/>
      <c r="BJ150" s="180"/>
      <c r="BK150" s="180"/>
      <c r="BL150" s="180"/>
      <c r="BM150" s="180"/>
      <c r="BN150" s="180"/>
      <c r="BO150" s="180"/>
      <c r="BP150" s="180"/>
      <c r="BQ150" s="180"/>
      <c r="BR150" s="180"/>
      <c r="BS150" s="180"/>
      <c r="BT150" s="180"/>
      <c r="BU150" s="180"/>
      <c r="BV150" s="180"/>
      <c r="BW150" s="180"/>
      <c r="BX150" s="180"/>
      <c r="BY150" s="180"/>
      <c r="BZ150" s="180"/>
      <c r="CA150" s="180"/>
      <c r="CB150" s="180"/>
      <c r="CC150" s="180"/>
      <c r="CD150" s="180"/>
      <c r="CE150" s="180"/>
      <c r="CF150" s="180"/>
      <c r="CG150" s="180"/>
      <c r="CH150" s="180"/>
      <c r="CI150" s="180"/>
      <c r="CJ150" s="180"/>
      <c r="CK150" s="180"/>
      <c r="CL150" s="180"/>
      <c r="CM150" s="180"/>
      <c r="CN150" s="180"/>
      <c r="CO150" s="180"/>
      <c r="CP150" s="180"/>
      <c r="CQ150" s="180"/>
      <c r="CR150" s="180"/>
      <c r="CS150" s="180"/>
      <c r="CT150" s="180"/>
      <c r="CU150" s="180"/>
      <c r="CV150" s="180"/>
      <c r="CW150" s="180"/>
      <c r="CX150" s="180"/>
      <c r="CY150" s="180"/>
      <c r="CZ150" s="180"/>
    </row>
    <row r="151" spans="1:104" x14ac:dyDescent="0.45">
      <c r="A151" s="180" t="s">
        <v>2</v>
      </c>
      <c r="B151" s="73">
        <v>11</v>
      </c>
      <c r="C151" s="73">
        <v>11</v>
      </c>
      <c r="D151" s="180" t="s">
        <v>309</v>
      </c>
      <c r="E151" s="39">
        <v>43593</v>
      </c>
      <c r="F151" s="179">
        <v>0.80208333333333337</v>
      </c>
      <c r="G151" s="180">
        <v>5</v>
      </c>
      <c r="H151" s="180"/>
      <c r="I151" s="180"/>
      <c r="J151" s="180"/>
      <c r="K151" s="180"/>
      <c r="L151" s="180"/>
      <c r="M151" s="180"/>
      <c r="N151" s="180"/>
      <c r="O151" s="180"/>
      <c r="P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180"/>
      <c r="BR151" s="180"/>
      <c r="BS151" s="180"/>
      <c r="BT151" s="180"/>
      <c r="BU151" s="180"/>
      <c r="BV151" s="180"/>
      <c r="BW151" s="180"/>
      <c r="BX151" s="180"/>
      <c r="BY151" s="180"/>
      <c r="BZ151" s="180"/>
      <c r="CA151" s="180"/>
      <c r="CB151" s="180"/>
      <c r="CC151" s="180"/>
      <c r="CD151" s="180"/>
      <c r="CE151" s="180"/>
      <c r="CF151" s="180"/>
      <c r="CG151" s="180"/>
      <c r="CH151" s="180"/>
      <c r="CI151" s="180"/>
      <c r="CJ151" s="180"/>
      <c r="CK151" s="180"/>
      <c r="CL151" s="180"/>
      <c r="CM151" s="180"/>
      <c r="CN151" s="180"/>
      <c r="CO151" s="180"/>
      <c r="CP151" s="180"/>
      <c r="CQ151" s="180"/>
      <c r="CR151" s="180"/>
      <c r="CS151" s="180"/>
      <c r="CT151" s="180"/>
      <c r="CU151" s="180"/>
      <c r="CV151" s="180"/>
      <c r="CW151" s="180"/>
      <c r="CX151" s="180"/>
      <c r="CY151" s="180"/>
      <c r="CZ151" s="180"/>
    </row>
    <row r="152" spans="1:104" x14ac:dyDescent="0.45">
      <c r="A152" s="180" t="s">
        <v>2</v>
      </c>
      <c r="B152" s="73">
        <v>2</v>
      </c>
      <c r="C152" s="73"/>
      <c r="D152" s="180" t="s">
        <v>318</v>
      </c>
      <c r="E152" s="39">
        <v>43593</v>
      </c>
      <c r="F152" s="179">
        <v>0.80208333333333337</v>
      </c>
      <c r="G152" s="180">
        <v>3</v>
      </c>
      <c r="H152" s="180" t="s">
        <v>280</v>
      </c>
      <c r="I152" s="180"/>
      <c r="J152" s="180"/>
      <c r="K152" s="180"/>
      <c r="L152" s="180"/>
      <c r="M152" s="180"/>
      <c r="N152" s="180"/>
      <c r="O152" s="180"/>
      <c r="P152" s="180"/>
      <c r="AS152" s="180"/>
      <c r="AT152" s="180"/>
      <c r="AU152" s="180"/>
      <c r="AV152" s="180"/>
      <c r="AW152" s="180"/>
      <c r="AX152" s="180"/>
      <c r="AY152" s="180"/>
      <c r="AZ152" s="180"/>
      <c r="BA152" s="180"/>
      <c r="BB152" s="180"/>
      <c r="BC152" s="180"/>
      <c r="BD152" s="180"/>
      <c r="BE152" s="180"/>
      <c r="BF152" s="180"/>
      <c r="BG152" s="180"/>
      <c r="BH152" s="180"/>
      <c r="BI152" s="180"/>
      <c r="BJ152" s="180"/>
      <c r="BK152" s="180"/>
      <c r="BL152" s="180"/>
      <c r="BM152" s="180"/>
      <c r="BN152" s="180"/>
      <c r="BO152" s="180"/>
      <c r="BP152" s="180"/>
      <c r="BQ152" s="180"/>
      <c r="BR152" s="180"/>
      <c r="BS152" s="180"/>
      <c r="BT152" s="180"/>
      <c r="BU152" s="180"/>
      <c r="BV152" s="180"/>
      <c r="BW152" s="180"/>
      <c r="BX152" s="180"/>
      <c r="BY152" s="180"/>
      <c r="BZ152" s="180"/>
      <c r="CA152" s="180"/>
      <c r="CB152" s="180"/>
      <c r="CC152" s="180"/>
      <c r="CD152" s="180"/>
      <c r="CE152" s="180"/>
      <c r="CF152" s="180"/>
      <c r="CG152" s="180"/>
      <c r="CH152" s="180"/>
      <c r="CI152" s="180"/>
      <c r="CJ152" s="180"/>
      <c r="CK152" s="180"/>
      <c r="CL152" s="180"/>
      <c r="CM152" s="180"/>
      <c r="CN152" s="180"/>
      <c r="CO152" s="180"/>
      <c r="CP152" s="180"/>
      <c r="CQ152" s="180"/>
      <c r="CR152" s="180"/>
      <c r="CS152" s="180"/>
      <c r="CT152" s="180"/>
      <c r="CU152" s="180"/>
      <c r="CV152" s="180"/>
      <c r="CW152" s="180"/>
      <c r="CX152" s="180"/>
      <c r="CY152" s="180"/>
      <c r="CZ152" s="180"/>
    </row>
    <row r="153" spans="1:104" x14ac:dyDescent="0.45">
      <c r="A153" s="180" t="s">
        <v>2</v>
      </c>
      <c r="B153" s="73">
        <v>1</v>
      </c>
      <c r="C153" s="73">
        <v>1</v>
      </c>
      <c r="D153" s="180" t="s">
        <v>288</v>
      </c>
      <c r="E153" s="39">
        <v>43593</v>
      </c>
      <c r="F153" s="179">
        <v>0.51180555555555551</v>
      </c>
      <c r="G153" s="180">
        <v>1</v>
      </c>
      <c r="H153" s="180"/>
      <c r="I153" s="180" t="s">
        <v>357</v>
      </c>
      <c r="J153" s="180"/>
      <c r="K153" s="180"/>
      <c r="L153" s="180"/>
      <c r="M153" s="180"/>
      <c r="N153" s="180"/>
      <c r="O153" s="180"/>
      <c r="P153" s="180"/>
      <c r="AS153" s="180"/>
      <c r="AT153" s="180"/>
      <c r="AU153" s="180"/>
      <c r="AV153" s="180"/>
      <c r="AW153" s="180"/>
      <c r="AX153" s="180"/>
      <c r="AY153" s="180"/>
      <c r="AZ153" s="180"/>
      <c r="BA153" s="180"/>
      <c r="BB153" s="180"/>
      <c r="BC153" s="180"/>
      <c r="BD153" s="180"/>
      <c r="BE153" s="180"/>
      <c r="BF153" s="180"/>
      <c r="BG153" s="180"/>
      <c r="BH153" s="180"/>
      <c r="BI153" s="180"/>
      <c r="BJ153" s="180"/>
      <c r="BK153" s="180"/>
      <c r="BL153" s="180"/>
      <c r="BM153" s="180"/>
      <c r="BN153" s="180"/>
      <c r="BO153" s="180"/>
      <c r="BP153" s="180"/>
      <c r="BQ153" s="180"/>
      <c r="BR153" s="180"/>
      <c r="BS153" s="180"/>
      <c r="BT153" s="180"/>
      <c r="BU153" s="180"/>
      <c r="BV153" s="180"/>
      <c r="BW153" s="180"/>
      <c r="BX153" s="180"/>
      <c r="BY153" s="180"/>
      <c r="BZ153" s="180"/>
      <c r="CA153" s="180"/>
      <c r="CB153" s="180"/>
      <c r="CC153" s="180"/>
      <c r="CD153" s="180"/>
      <c r="CE153" s="180"/>
      <c r="CF153" s="180"/>
      <c r="CG153" s="180"/>
      <c r="CH153" s="180"/>
      <c r="CI153" s="180"/>
      <c r="CJ153" s="180"/>
      <c r="CK153" s="180"/>
      <c r="CL153" s="180"/>
      <c r="CM153" s="180"/>
      <c r="CN153" s="180"/>
      <c r="CO153" s="180"/>
      <c r="CP153" s="180"/>
      <c r="CQ153" s="180"/>
      <c r="CR153" s="180"/>
      <c r="CS153" s="180"/>
      <c r="CT153" s="180"/>
      <c r="CU153" s="180"/>
      <c r="CV153" s="180"/>
      <c r="CW153" s="180"/>
      <c r="CX153" s="180"/>
      <c r="CY153" s="180"/>
      <c r="CZ153" s="180"/>
    </row>
    <row r="154" spans="1:104" x14ac:dyDescent="0.45">
      <c r="A154" s="180" t="s">
        <v>2</v>
      </c>
      <c r="B154" s="73">
        <v>4</v>
      </c>
      <c r="C154" s="73">
        <v>4</v>
      </c>
      <c r="D154" s="180" t="s">
        <v>317</v>
      </c>
      <c r="E154" s="39">
        <v>43594</v>
      </c>
      <c r="F154" s="179">
        <v>0.39374999999999999</v>
      </c>
      <c r="G154" s="180">
        <v>2</v>
      </c>
      <c r="H154" s="180"/>
      <c r="I154" s="180"/>
      <c r="J154" s="180"/>
      <c r="K154" s="180"/>
      <c r="L154" s="180"/>
      <c r="M154" s="180"/>
      <c r="N154" s="180"/>
      <c r="O154" s="180"/>
      <c r="P154" s="180"/>
      <c r="AS154" s="180"/>
      <c r="AT154" s="180"/>
      <c r="AU154" s="180"/>
      <c r="AV154" s="180"/>
      <c r="AW154" s="180"/>
      <c r="AX154" s="180"/>
      <c r="AY154" s="180"/>
      <c r="AZ154" s="180"/>
      <c r="BA154" s="180"/>
      <c r="BB154" s="180"/>
      <c r="BC154" s="180"/>
      <c r="BD154" s="180"/>
      <c r="BE154" s="180"/>
      <c r="BF154" s="180"/>
      <c r="BG154" s="180"/>
      <c r="BH154" s="180"/>
      <c r="BI154" s="180"/>
      <c r="BJ154" s="180"/>
      <c r="BK154" s="180"/>
      <c r="BL154" s="180"/>
      <c r="BM154" s="180"/>
      <c r="BN154" s="180"/>
      <c r="BO154" s="180"/>
      <c r="BP154" s="180"/>
      <c r="BQ154" s="180"/>
      <c r="BR154" s="180"/>
      <c r="BS154" s="180"/>
      <c r="BT154" s="180"/>
      <c r="BU154" s="180"/>
      <c r="BV154" s="180"/>
      <c r="BW154" s="180"/>
      <c r="BX154" s="180"/>
      <c r="BY154" s="180"/>
      <c r="BZ154" s="180"/>
      <c r="CA154" s="180"/>
      <c r="CB154" s="180"/>
      <c r="CC154" s="180"/>
      <c r="CD154" s="180"/>
      <c r="CE154" s="180"/>
      <c r="CF154" s="180"/>
      <c r="CG154" s="180"/>
      <c r="CH154" s="180"/>
      <c r="CI154" s="180"/>
      <c r="CJ154" s="180"/>
      <c r="CK154" s="180"/>
      <c r="CL154" s="180"/>
      <c r="CM154" s="180"/>
      <c r="CN154" s="180"/>
      <c r="CO154" s="180"/>
      <c r="CP154" s="180"/>
      <c r="CQ154" s="180"/>
      <c r="CR154" s="180"/>
      <c r="CS154" s="180"/>
      <c r="CT154" s="180"/>
      <c r="CU154" s="180"/>
      <c r="CV154" s="180"/>
      <c r="CW154" s="180"/>
      <c r="CX154" s="180"/>
      <c r="CY154" s="180"/>
      <c r="CZ154" s="180"/>
    </row>
    <row r="155" spans="1:104" x14ac:dyDescent="0.45">
      <c r="A155" s="180" t="s">
        <v>2</v>
      </c>
      <c r="B155" s="73">
        <v>4</v>
      </c>
      <c r="C155" s="73"/>
      <c r="D155" s="180" t="s">
        <v>317</v>
      </c>
      <c r="E155" s="39">
        <v>43594</v>
      </c>
      <c r="F155" s="179">
        <v>0.39374999999999999</v>
      </c>
      <c r="G155" s="180">
        <v>2</v>
      </c>
      <c r="H155" s="180"/>
      <c r="I155" s="180"/>
      <c r="J155" s="180"/>
      <c r="K155" s="180"/>
      <c r="L155" s="180"/>
      <c r="M155" s="180"/>
      <c r="N155" s="180"/>
      <c r="O155" s="180"/>
      <c r="P155" s="180"/>
      <c r="AS155" s="180"/>
      <c r="AT155" s="180"/>
      <c r="AU155" s="180"/>
      <c r="AV155" s="180"/>
      <c r="AW155" s="180"/>
      <c r="AX155" s="180"/>
      <c r="AY155" s="180"/>
      <c r="AZ155" s="180"/>
      <c r="BA155" s="180"/>
      <c r="BB155" s="180"/>
      <c r="BC155" s="180"/>
      <c r="BD155" s="180"/>
      <c r="BE155" s="180"/>
      <c r="BF155" s="180"/>
      <c r="BG155" s="180"/>
      <c r="BH155" s="180"/>
      <c r="BI155" s="180"/>
      <c r="BJ155" s="180"/>
      <c r="BK155" s="180"/>
      <c r="BL155" s="180"/>
      <c r="BM155" s="180"/>
      <c r="BN155" s="180"/>
      <c r="BO155" s="180"/>
      <c r="BP155" s="180"/>
      <c r="BQ155" s="180"/>
      <c r="BR155" s="180"/>
      <c r="BS155" s="180"/>
      <c r="BT155" s="180"/>
      <c r="BU155" s="180"/>
      <c r="BV155" s="180"/>
      <c r="BW155" s="180"/>
      <c r="BX155" s="180"/>
      <c r="BY155" s="180"/>
      <c r="BZ155" s="180"/>
      <c r="CA155" s="180"/>
      <c r="CB155" s="180"/>
      <c r="CC155" s="180"/>
      <c r="CD155" s="180"/>
      <c r="CE155" s="180"/>
      <c r="CF155" s="180"/>
      <c r="CG155" s="180"/>
      <c r="CH155" s="180"/>
      <c r="CI155" s="180"/>
      <c r="CJ155" s="180"/>
      <c r="CK155" s="180"/>
      <c r="CL155" s="180"/>
      <c r="CM155" s="180"/>
      <c r="CN155" s="180"/>
      <c r="CO155" s="180"/>
      <c r="CP155" s="180"/>
      <c r="CQ155" s="180"/>
      <c r="CR155" s="180"/>
      <c r="CS155" s="180"/>
      <c r="CT155" s="180"/>
      <c r="CU155" s="180"/>
      <c r="CV155" s="180"/>
      <c r="CW155" s="180"/>
      <c r="CX155" s="180"/>
      <c r="CY155" s="180"/>
      <c r="CZ155" s="180"/>
    </row>
    <row r="156" spans="1:104" x14ac:dyDescent="0.45">
      <c r="A156" s="180" t="s">
        <v>2</v>
      </c>
      <c r="B156" s="73">
        <v>4</v>
      </c>
      <c r="C156" s="73"/>
      <c r="D156" s="180" t="s">
        <v>317</v>
      </c>
      <c r="E156" s="39">
        <v>43594</v>
      </c>
      <c r="F156" s="179">
        <v>0.39374999999999999</v>
      </c>
      <c r="G156" s="180">
        <v>2</v>
      </c>
      <c r="H156" s="180"/>
      <c r="I156" s="180"/>
      <c r="J156" s="180"/>
      <c r="K156" s="180"/>
      <c r="L156" s="180"/>
      <c r="M156" s="180"/>
      <c r="N156" s="180"/>
      <c r="O156" s="180"/>
      <c r="P156" s="180"/>
      <c r="AS156" s="180"/>
      <c r="AT156" s="180"/>
      <c r="AU156" s="180"/>
      <c r="AV156" s="180"/>
      <c r="AW156" s="180"/>
      <c r="AX156" s="180"/>
      <c r="AY156" s="180"/>
      <c r="AZ156" s="180"/>
      <c r="BA156" s="180"/>
      <c r="BB156" s="180"/>
      <c r="BC156" s="180"/>
      <c r="BD156" s="180"/>
      <c r="BE156" s="180"/>
      <c r="BF156" s="180"/>
      <c r="BG156" s="180"/>
      <c r="BH156" s="180"/>
      <c r="BI156" s="180"/>
      <c r="BJ156" s="180"/>
      <c r="BK156" s="180"/>
      <c r="BL156" s="180"/>
      <c r="BM156" s="180"/>
      <c r="BN156" s="180"/>
      <c r="BO156" s="180"/>
      <c r="BP156" s="180"/>
      <c r="BQ156" s="180"/>
      <c r="BR156" s="180"/>
      <c r="BS156" s="180"/>
      <c r="BT156" s="180"/>
      <c r="BU156" s="180"/>
      <c r="BV156" s="180"/>
      <c r="BW156" s="180"/>
      <c r="BX156" s="180"/>
      <c r="BY156" s="180"/>
      <c r="BZ156" s="180"/>
      <c r="CA156" s="180"/>
      <c r="CB156" s="180"/>
      <c r="CC156" s="180"/>
      <c r="CD156" s="180"/>
      <c r="CE156" s="180"/>
      <c r="CF156" s="180"/>
      <c r="CG156" s="180"/>
      <c r="CH156" s="180"/>
      <c r="CI156" s="180"/>
      <c r="CJ156" s="180"/>
      <c r="CK156" s="180"/>
      <c r="CL156" s="180"/>
      <c r="CM156" s="180"/>
      <c r="CN156" s="180"/>
      <c r="CO156" s="180"/>
      <c r="CP156" s="180"/>
      <c r="CQ156" s="180"/>
      <c r="CR156" s="180"/>
      <c r="CS156" s="180"/>
      <c r="CT156" s="180"/>
      <c r="CU156" s="180"/>
      <c r="CV156" s="180"/>
      <c r="CW156" s="180"/>
      <c r="CX156" s="180"/>
      <c r="CY156" s="180"/>
      <c r="CZ156" s="180"/>
    </row>
    <row r="157" spans="1:104" x14ac:dyDescent="0.45">
      <c r="A157" s="180" t="s">
        <v>2</v>
      </c>
      <c r="B157" s="73">
        <v>6</v>
      </c>
      <c r="C157" s="73"/>
      <c r="D157" s="180" t="s">
        <v>311</v>
      </c>
      <c r="E157" s="39">
        <v>43594</v>
      </c>
      <c r="F157" s="179">
        <v>0.64583333333333337</v>
      </c>
      <c r="G157" s="180">
        <v>1</v>
      </c>
      <c r="H157" s="180"/>
      <c r="I157" s="180"/>
      <c r="J157" s="180"/>
      <c r="K157" s="180"/>
      <c r="L157" s="180"/>
      <c r="M157" s="180"/>
      <c r="N157" s="180"/>
      <c r="O157" s="180"/>
      <c r="P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80"/>
      <c r="CT157" s="180"/>
      <c r="CU157" s="180"/>
      <c r="CV157" s="180"/>
      <c r="CW157" s="180"/>
      <c r="CX157" s="180"/>
      <c r="CY157" s="180"/>
      <c r="CZ157" s="180"/>
    </row>
    <row r="158" spans="1:104" x14ac:dyDescent="0.45">
      <c r="A158" s="180" t="s">
        <v>2</v>
      </c>
      <c r="B158" s="73">
        <v>8</v>
      </c>
      <c r="C158" s="73">
        <v>8</v>
      </c>
      <c r="D158" s="180" t="s">
        <v>309</v>
      </c>
      <c r="E158" s="39">
        <v>43594</v>
      </c>
      <c r="F158" s="179">
        <v>0.69097222222222221</v>
      </c>
      <c r="G158" s="180">
        <v>1</v>
      </c>
      <c r="H158" s="180"/>
      <c r="I158" s="180" t="s">
        <v>358</v>
      </c>
      <c r="J158" s="180"/>
      <c r="K158" s="180"/>
      <c r="L158" s="180"/>
      <c r="M158" s="180"/>
      <c r="N158" s="180"/>
      <c r="O158" s="180"/>
      <c r="P158" s="180"/>
      <c r="AS158" s="180"/>
      <c r="AT158" s="180"/>
      <c r="AU158" s="180"/>
      <c r="AV158" s="180"/>
      <c r="AW158" s="180"/>
      <c r="AX158" s="180"/>
      <c r="AY158" s="180"/>
      <c r="AZ158" s="180"/>
      <c r="BA158" s="180"/>
      <c r="BB158" s="180"/>
      <c r="BC158" s="180"/>
      <c r="BD158" s="180"/>
      <c r="BE158" s="180"/>
      <c r="BF158" s="180"/>
      <c r="BG158" s="180"/>
      <c r="BH158" s="180"/>
      <c r="BI158" s="180"/>
      <c r="BJ158" s="180"/>
      <c r="BK158" s="180"/>
      <c r="BL158" s="180"/>
      <c r="BM158" s="180"/>
      <c r="BN158" s="180"/>
      <c r="BO158" s="180"/>
      <c r="BP158" s="180"/>
      <c r="BQ158" s="180"/>
      <c r="BR158" s="180"/>
      <c r="BS158" s="180"/>
      <c r="BT158" s="180"/>
      <c r="BU158" s="180"/>
      <c r="BV158" s="180"/>
      <c r="BW158" s="180"/>
      <c r="BX158" s="180"/>
      <c r="BY158" s="180"/>
      <c r="BZ158" s="180"/>
      <c r="CA158" s="180"/>
      <c r="CB158" s="180"/>
      <c r="CC158" s="180"/>
      <c r="CD158" s="180"/>
      <c r="CE158" s="180"/>
      <c r="CF158" s="180"/>
      <c r="CG158" s="180"/>
      <c r="CH158" s="180"/>
      <c r="CI158" s="180"/>
      <c r="CJ158" s="180"/>
      <c r="CK158" s="180"/>
      <c r="CL158" s="180"/>
      <c r="CM158" s="180"/>
      <c r="CN158" s="180"/>
      <c r="CO158" s="180"/>
      <c r="CP158" s="180"/>
      <c r="CQ158" s="180"/>
      <c r="CR158" s="180"/>
      <c r="CS158" s="180"/>
      <c r="CT158" s="180"/>
      <c r="CU158" s="180"/>
      <c r="CV158" s="180"/>
      <c r="CW158" s="180"/>
      <c r="CX158" s="180"/>
      <c r="CY158" s="180"/>
      <c r="CZ158" s="180"/>
    </row>
    <row r="159" spans="1:104" x14ac:dyDescent="0.45">
      <c r="A159" s="180" t="s">
        <v>2</v>
      </c>
      <c r="B159" s="73">
        <v>6</v>
      </c>
      <c r="C159" s="73"/>
      <c r="D159" s="180" t="s">
        <v>359</v>
      </c>
      <c r="E159" s="39">
        <v>43594</v>
      </c>
      <c r="F159" s="179">
        <v>0.75</v>
      </c>
      <c r="G159" s="180">
        <v>2</v>
      </c>
      <c r="H159" s="180"/>
      <c r="I159" s="180"/>
      <c r="J159" s="180"/>
      <c r="K159" s="180"/>
      <c r="L159" s="180"/>
      <c r="M159" s="180"/>
      <c r="N159" s="180"/>
      <c r="O159" s="180"/>
      <c r="P159" s="180"/>
      <c r="AS159" s="180"/>
      <c r="AT159" s="180"/>
      <c r="AU159" s="180"/>
      <c r="AV159" s="180"/>
      <c r="AW159" s="180"/>
      <c r="AX159" s="180"/>
      <c r="AY159" s="180"/>
      <c r="AZ159" s="180"/>
      <c r="BA159" s="180"/>
      <c r="BB159" s="180"/>
      <c r="BC159" s="180"/>
      <c r="BD159" s="180"/>
      <c r="BE159" s="180"/>
      <c r="BF159" s="180"/>
      <c r="BG159" s="180"/>
      <c r="BH159" s="180"/>
      <c r="BI159" s="180"/>
      <c r="BJ159" s="180"/>
      <c r="BK159" s="180"/>
      <c r="BL159" s="180"/>
      <c r="BM159" s="180"/>
      <c r="BN159" s="180"/>
      <c r="BO159" s="180"/>
      <c r="BP159" s="180"/>
      <c r="BQ159" s="180"/>
      <c r="BR159" s="180"/>
      <c r="BS159" s="180"/>
      <c r="BT159" s="180"/>
      <c r="BU159" s="180"/>
      <c r="BV159" s="180"/>
      <c r="BW159" s="180"/>
      <c r="BX159" s="180"/>
      <c r="BY159" s="180"/>
      <c r="BZ159" s="180"/>
      <c r="CA159" s="180"/>
      <c r="CB159" s="180"/>
      <c r="CC159" s="180"/>
      <c r="CD159" s="180"/>
      <c r="CE159" s="180"/>
      <c r="CF159" s="180"/>
      <c r="CG159" s="180"/>
      <c r="CH159" s="180"/>
      <c r="CI159" s="180"/>
      <c r="CJ159" s="180"/>
      <c r="CK159" s="180"/>
      <c r="CL159" s="180"/>
      <c r="CM159" s="180"/>
      <c r="CN159" s="180"/>
      <c r="CO159" s="180"/>
      <c r="CP159" s="180"/>
      <c r="CQ159" s="180"/>
      <c r="CR159" s="180"/>
      <c r="CS159" s="180"/>
      <c r="CT159" s="180"/>
      <c r="CU159" s="180"/>
      <c r="CV159" s="180"/>
      <c r="CW159" s="180"/>
      <c r="CX159" s="180"/>
      <c r="CY159" s="180"/>
      <c r="CZ159" s="180"/>
    </row>
    <row r="160" spans="1:104" x14ac:dyDescent="0.45">
      <c r="A160" s="180" t="s">
        <v>2</v>
      </c>
      <c r="B160" s="73">
        <v>1</v>
      </c>
      <c r="C160" s="73">
        <v>1</v>
      </c>
      <c r="D160" s="180" t="s">
        <v>309</v>
      </c>
      <c r="E160" s="39">
        <v>43595</v>
      </c>
      <c r="F160" s="179">
        <v>0.80138888888888893</v>
      </c>
      <c r="G160" s="180">
        <v>1</v>
      </c>
      <c r="H160" s="180"/>
      <c r="I160" s="180"/>
      <c r="J160" s="180"/>
      <c r="K160" s="180"/>
      <c r="L160" s="180"/>
      <c r="M160" s="180"/>
      <c r="N160" s="180"/>
      <c r="O160" s="180"/>
      <c r="P160" s="180"/>
      <c r="AS160" s="180"/>
      <c r="AT160" s="180"/>
      <c r="AU160" s="180"/>
      <c r="AV160" s="180"/>
      <c r="AW160" s="180"/>
      <c r="AX160" s="180"/>
      <c r="AY160" s="180"/>
      <c r="AZ160" s="180"/>
      <c r="BA160" s="180"/>
      <c r="BB160" s="180"/>
      <c r="BC160" s="180"/>
      <c r="BD160" s="180"/>
      <c r="BE160" s="180"/>
      <c r="BF160" s="180"/>
      <c r="BG160" s="180"/>
      <c r="BH160" s="180"/>
      <c r="BI160" s="180"/>
      <c r="BJ160" s="180"/>
      <c r="BK160" s="180"/>
      <c r="BL160" s="180"/>
      <c r="BM160" s="180"/>
      <c r="BN160" s="180"/>
      <c r="BO160" s="180"/>
      <c r="BP160" s="180"/>
      <c r="BQ160" s="180"/>
      <c r="BR160" s="180"/>
      <c r="BS160" s="180"/>
      <c r="BT160" s="180"/>
      <c r="BU160" s="180"/>
      <c r="BV160" s="180"/>
      <c r="BW160" s="180"/>
      <c r="BX160" s="180"/>
      <c r="BY160" s="180"/>
      <c r="BZ160" s="180"/>
      <c r="CA160" s="180"/>
      <c r="CB160" s="180"/>
      <c r="CC160" s="180"/>
      <c r="CD160" s="180"/>
      <c r="CE160" s="180"/>
      <c r="CF160" s="180"/>
      <c r="CG160" s="180"/>
      <c r="CH160" s="180"/>
      <c r="CI160" s="180"/>
      <c r="CJ160" s="180"/>
      <c r="CK160" s="180"/>
      <c r="CL160" s="180"/>
      <c r="CM160" s="180"/>
      <c r="CN160" s="180"/>
      <c r="CO160" s="180"/>
      <c r="CP160" s="180"/>
      <c r="CQ160" s="180"/>
      <c r="CR160" s="180"/>
      <c r="CS160" s="180"/>
      <c r="CT160" s="180"/>
      <c r="CU160" s="180"/>
      <c r="CV160" s="180"/>
      <c r="CW160" s="180"/>
      <c r="CX160" s="180"/>
      <c r="CY160" s="180"/>
      <c r="CZ160" s="180"/>
    </row>
    <row r="161" spans="1:104" x14ac:dyDescent="0.45">
      <c r="A161" s="180" t="s">
        <v>2</v>
      </c>
      <c r="B161" s="73">
        <v>1</v>
      </c>
      <c r="C161" s="73">
        <v>1</v>
      </c>
      <c r="D161" s="180" t="s">
        <v>317</v>
      </c>
      <c r="E161" s="39">
        <v>43596</v>
      </c>
      <c r="F161" s="179">
        <v>0.75277777777777777</v>
      </c>
      <c r="G161" s="180">
        <v>1</v>
      </c>
      <c r="H161" s="180"/>
      <c r="I161" s="180"/>
      <c r="J161" s="180"/>
      <c r="K161" s="180"/>
      <c r="L161" s="180"/>
      <c r="M161" s="180"/>
      <c r="N161" s="180"/>
      <c r="O161" s="180"/>
      <c r="P161" s="180"/>
      <c r="AS161" s="180"/>
      <c r="AT161" s="180"/>
      <c r="AU161" s="180"/>
      <c r="AV161" s="180"/>
      <c r="AW161" s="180"/>
      <c r="AX161" s="180"/>
      <c r="AY161" s="180"/>
      <c r="AZ161" s="180"/>
      <c r="BA161" s="180"/>
      <c r="BB161" s="180"/>
      <c r="BC161" s="180"/>
      <c r="BD161" s="180"/>
      <c r="BE161" s="180"/>
      <c r="BF161" s="180"/>
      <c r="BG161" s="180"/>
      <c r="BH161" s="180"/>
      <c r="BI161" s="180"/>
      <c r="BJ161" s="180"/>
      <c r="BK161" s="180"/>
      <c r="BL161" s="180"/>
      <c r="BM161" s="180"/>
      <c r="BN161" s="180"/>
      <c r="BO161" s="180"/>
      <c r="BP161" s="180"/>
      <c r="BQ161" s="180"/>
      <c r="BR161" s="180"/>
      <c r="BS161" s="180"/>
      <c r="BT161" s="180"/>
      <c r="BU161" s="180"/>
      <c r="BV161" s="180"/>
      <c r="BW161" s="180"/>
      <c r="BX161" s="180"/>
      <c r="BY161" s="180"/>
      <c r="BZ161" s="180"/>
      <c r="CA161" s="180"/>
      <c r="CB161" s="180"/>
      <c r="CC161" s="180"/>
      <c r="CD161" s="180"/>
      <c r="CE161" s="180"/>
      <c r="CF161" s="180"/>
      <c r="CG161" s="180"/>
      <c r="CH161" s="180"/>
      <c r="CI161" s="180"/>
      <c r="CJ161" s="180"/>
      <c r="CK161" s="180"/>
      <c r="CL161" s="180"/>
      <c r="CM161" s="180"/>
      <c r="CN161" s="180"/>
      <c r="CO161" s="180"/>
      <c r="CP161" s="180"/>
      <c r="CQ161" s="180"/>
      <c r="CR161" s="180"/>
      <c r="CS161" s="180"/>
      <c r="CT161" s="180"/>
      <c r="CU161" s="180"/>
      <c r="CV161" s="180"/>
      <c r="CW161" s="180"/>
      <c r="CX161" s="180"/>
      <c r="CY161" s="180"/>
      <c r="CZ161" s="180"/>
    </row>
    <row r="162" spans="1:104" x14ac:dyDescent="0.45">
      <c r="A162" s="180" t="s">
        <v>2</v>
      </c>
      <c r="B162" s="73">
        <v>1</v>
      </c>
      <c r="C162" s="73">
        <v>1</v>
      </c>
      <c r="D162" s="180" t="s">
        <v>332</v>
      </c>
      <c r="E162" s="39">
        <v>43596</v>
      </c>
      <c r="F162" s="179">
        <v>0.32777777777777778</v>
      </c>
      <c r="G162" s="180">
        <v>4</v>
      </c>
      <c r="H162" s="180"/>
      <c r="I162" s="180"/>
      <c r="J162" s="180"/>
      <c r="K162" s="180"/>
      <c r="L162" s="180"/>
      <c r="M162" s="180"/>
      <c r="N162" s="180"/>
      <c r="O162" s="180"/>
      <c r="P162" s="180"/>
      <c r="AS162" s="180"/>
      <c r="AT162" s="180"/>
      <c r="AU162" s="180"/>
      <c r="AV162" s="180"/>
      <c r="AW162" s="180"/>
      <c r="AX162" s="180"/>
      <c r="AY162" s="180"/>
      <c r="AZ162" s="180"/>
      <c r="BA162" s="180"/>
      <c r="BB162" s="180"/>
      <c r="BC162" s="180"/>
      <c r="BD162" s="180"/>
      <c r="BE162" s="180"/>
      <c r="BF162" s="180"/>
      <c r="BG162" s="180"/>
      <c r="BH162" s="180"/>
      <c r="BI162" s="180"/>
      <c r="BJ162" s="180"/>
      <c r="BK162" s="180"/>
      <c r="BL162" s="180"/>
      <c r="BM162" s="180"/>
      <c r="BN162" s="180"/>
      <c r="BO162" s="180"/>
      <c r="BP162" s="180"/>
      <c r="BQ162" s="180"/>
      <c r="BR162" s="180"/>
      <c r="BS162" s="180"/>
      <c r="BT162" s="180"/>
      <c r="BU162" s="180"/>
      <c r="BV162" s="180"/>
      <c r="BW162" s="180"/>
      <c r="BX162" s="180"/>
      <c r="BY162" s="180"/>
      <c r="BZ162" s="180"/>
      <c r="CA162" s="180"/>
      <c r="CB162" s="180"/>
      <c r="CC162" s="180"/>
      <c r="CD162" s="180"/>
      <c r="CE162" s="180"/>
      <c r="CF162" s="180"/>
      <c r="CG162" s="180"/>
      <c r="CH162" s="180"/>
      <c r="CI162" s="180"/>
      <c r="CJ162" s="180"/>
      <c r="CK162" s="180"/>
      <c r="CL162" s="180"/>
      <c r="CM162" s="180"/>
      <c r="CN162" s="180"/>
      <c r="CO162" s="180"/>
      <c r="CP162" s="180"/>
      <c r="CQ162" s="180"/>
      <c r="CR162" s="180"/>
      <c r="CS162" s="180"/>
      <c r="CT162" s="180"/>
      <c r="CU162" s="180"/>
      <c r="CV162" s="180"/>
      <c r="CW162" s="180"/>
      <c r="CX162" s="180"/>
      <c r="CY162" s="180"/>
      <c r="CZ162" s="180"/>
    </row>
    <row r="163" spans="1:104" x14ac:dyDescent="0.45">
      <c r="A163" s="180" t="s">
        <v>2</v>
      </c>
      <c r="B163" s="73">
        <v>1</v>
      </c>
      <c r="C163" s="73"/>
      <c r="D163" s="180" t="s">
        <v>332</v>
      </c>
      <c r="E163" s="39">
        <v>43596</v>
      </c>
      <c r="F163" s="179">
        <v>0.32777777777777778</v>
      </c>
      <c r="G163" s="180">
        <v>4</v>
      </c>
      <c r="H163" s="180"/>
      <c r="I163" s="180"/>
      <c r="J163" s="180"/>
      <c r="K163" s="180"/>
      <c r="L163" s="180"/>
      <c r="M163" s="180"/>
      <c r="N163" s="180"/>
      <c r="O163" s="180"/>
      <c r="P163" s="180"/>
      <c r="AS163" s="180"/>
      <c r="AT163" s="180"/>
      <c r="AU163" s="180"/>
      <c r="AV163" s="180"/>
      <c r="AW163" s="180"/>
      <c r="AX163" s="180"/>
      <c r="AY163" s="180"/>
      <c r="AZ163" s="180"/>
      <c r="BA163" s="180"/>
      <c r="BB163" s="180"/>
      <c r="BC163" s="180"/>
      <c r="BD163" s="180"/>
      <c r="BE163" s="180"/>
      <c r="BF163" s="180"/>
      <c r="BG163" s="180"/>
      <c r="BH163" s="180"/>
      <c r="BI163" s="180"/>
      <c r="BJ163" s="180"/>
      <c r="BK163" s="180"/>
      <c r="BL163" s="180"/>
      <c r="BM163" s="180"/>
      <c r="BN163" s="180"/>
      <c r="BO163" s="180"/>
      <c r="BP163" s="180"/>
      <c r="BQ163" s="180"/>
      <c r="BR163" s="180"/>
      <c r="BS163" s="180"/>
      <c r="BT163" s="180"/>
      <c r="BU163" s="180"/>
      <c r="BV163" s="180"/>
      <c r="BW163" s="180"/>
      <c r="BX163" s="180"/>
      <c r="BY163" s="180"/>
      <c r="BZ163" s="180"/>
      <c r="CA163" s="180"/>
      <c r="CB163" s="180"/>
      <c r="CC163" s="180"/>
      <c r="CD163" s="180"/>
      <c r="CE163" s="180"/>
      <c r="CF163" s="180"/>
      <c r="CG163" s="180"/>
      <c r="CH163" s="180"/>
      <c r="CI163" s="180"/>
      <c r="CJ163" s="180"/>
      <c r="CK163" s="180"/>
      <c r="CL163" s="180"/>
      <c r="CM163" s="180"/>
      <c r="CN163" s="180"/>
      <c r="CO163" s="180"/>
      <c r="CP163" s="180"/>
      <c r="CQ163" s="180"/>
      <c r="CR163" s="180"/>
      <c r="CS163" s="180"/>
      <c r="CT163" s="180"/>
      <c r="CU163" s="180"/>
      <c r="CV163" s="180"/>
      <c r="CW163" s="180"/>
      <c r="CX163" s="180"/>
      <c r="CY163" s="180"/>
      <c r="CZ163" s="180"/>
    </row>
    <row r="164" spans="1:104" x14ac:dyDescent="0.45">
      <c r="A164" s="180" t="s">
        <v>2</v>
      </c>
      <c r="B164" s="73">
        <v>2</v>
      </c>
      <c r="C164" s="73"/>
      <c r="D164" s="180" t="s">
        <v>309</v>
      </c>
      <c r="E164" s="39">
        <v>43596</v>
      </c>
      <c r="F164" s="179">
        <v>0.36319444444444443</v>
      </c>
      <c r="G164" s="180">
        <v>1</v>
      </c>
      <c r="H164" s="180" t="s">
        <v>360</v>
      </c>
      <c r="I164" s="180"/>
      <c r="J164" s="180"/>
      <c r="K164" s="180"/>
      <c r="L164" s="180"/>
      <c r="M164" s="180"/>
      <c r="N164" s="180"/>
      <c r="O164" s="180"/>
      <c r="P164" s="180"/>
      <c r="AS164" s="180"/>
      <c r="AT164" s="180"/>
      <c r="AU164" s="180"/>
      <c r="AV164" s="180"/>
      <c r="AW164" s="180"/>
      <c r="AX164" s="180"/>
      <c r="AY164" s="180"/>
      <c r="AZ164" s="180"/>
      <c r="BA164" s="180"/>
      <c r="BB164" s="180"/>
      <c r="BC164" s="180"/>
      <c r="BD164" s="180"/>
      <c r="BE164" s="180"/>
      <c r="BF164" s="180"/>
      <c r="BG164" s="180"/>
      <c r="BH164" s="180"/>
      <c r="BI164" s="180"/>
      <c r="BJ164" s="180"/>
      <c r="BK164" s="180"/>
      <c r="BL164" s="180"/>
      <c r="BM164" s="180"/>
      <c r="BN164" s="180"/>
      <c r="BO164" s="180"/>
      <c r="BP164" s="180"/>
      <c r="BQ164" s="180"/>
      <c r="BR164" s="180"/>
      <c r="BS164" s="180"/>
      <c r="BT164" s="180"/>
      <c r="BU164" s="180"/>
      <c r="BV164" s="180"/>
      <c r="BW164" s="180"/>
      <c r="BX164" s="180"/>
      <c r="BY164" s="180"/>
      <c r="BZ164" s="180"/>
      <c r="CA164" s="180"/>
      <c r="CB164" s="180"/>
      <c r="CC164" s="180"/>
      <c r="CD164" s="180"/>
      <c r="CE164" s="180"/>
      <c r="CF164" s="180"/>
      <c r="CG164" s="180"/>
      <c r="CH164" s="180"/>
      <c r="CI164" s="180"/>
      <c r="CJ164" s="180"/>
      <c r="CK164" s="180"/>
      <c r="CL164" s="180"/>
      <c r="CM164" s="180"/>
      <c r="CN164" s="180"/>
      <c r="CO164" s="180"/>
      <c r="CP164" s="180"/>
      <c r="CQ164" s="180"/>
      <c r="CR164" s="180"/>
      <c r="CS164" s="180"/>
      <c r="CT164" s="180"/>
      <c r="CU164" s="180"/>
      <c r="CV164" s="180"/>
      <c r="CW164" s="180"/>
      <c r="CX164" s="180"/>
      <c r="CY164" s="180"/>
      <c r="CZ164" s="180"/>
    </row>
    <row r="165" spans="1:104" x14ac:dyDescent="0.45">
      <c r="A165" s="180" t="s">
        <v>2</v>
      </c>
      <c r="B165" s="73">
        <v>3</v>
      </c>
      <c r="C165" s="73"/>
      <c r="D165" s="180" t="s">
        <v>309</v>
      </c>
      <c r="E165" s="39">
        <v>43596</v>
      </c>
      <c r="F165" s="179">
        <v>0.32569444444444445</v>
      </c>
      <c r="G165" s="180">
        <v>3</v>
      </c>
      <c r="H165" s="180" t="s">
        <v>361</v>
      </c>
      <c r="I165" s="180"/>
      <c r="J165" s="180"/>
      <c r="K165" s="180"/>
      <c r="L165" s="180"/>
      <c r="M165" s="180"/>
      <c r="N165" s="180"/>
      <c r="O165" s="180"/>
      <c r="P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0"/>
      <c r="BQ165" s="180"/>
      <c r="BR165" s="180"/>
      <c r="BS165" s="180"/>
      <c r="BT165" s="180"/>
      <c r="BU165" s="180"/>
      <c r="BV165" s="180"/>
      <c r="BW165" s="180"/>
      <c r="BX165" s="180"/>
      <c r="BY165" s="180"/>
      <c r="BZ165" s="180"/>
      <c r="CA165" s="180"/>
      <c r="CB165" s="180"/>
      <c r="CC165" s="180"/>
      <c r="CD165" s="180"/>
      <c r="CE165" s="180"/>
      <c r="CF165" s="180"/>
      <c r="CG165" s="180"/>
      <c r="CH165" s="180"/>
      <c r="CI165" s="180"/>
      <c r="CJ165" s="180"/>
      <c r="CK165" s="180"/>
      <c r="CL165" s="180"/>
      <c r="CM165" s="180"/>
      <c r="CN165" s="180"/>
      <c r="CO165" s="180"/>
      <c r="CP165" s="180"/>
      <c r="CQ165" s="180"/>
      <c r="CR165" s="180"/>
      <c r="CS165" s="180"/>
      <c r="CT165" s="180"/>
      <c r="CU165" s="180"/>
      <c r="CV165" s="180"/>
      <c r="CW165" s="180"/>
      <c r="CX165" s="180"/>
      <c r="CY165" s="180"/>
      <c r="CZ165" s="180"/>
    </row>
    <row r="166" spans="1:104" x14ac:dyDescent="0.45">
      <c r="A166" s="180" t="s">
        <v>2</v>
      </c>
      <c r="B166" s="73">
        <v>3</v>
      </c>
      <c r="C166" s="73"/>
      <c r="D166" s="180" t="s">
        <v>309</v>
      </c>
      <c r="E166" s="39">
        <v>43596</v>
      </c>
      <c r="F166" s="179">
        <v>0.32291666666666669</v>
      </c>
      <c r="G166" s="180">
        <v>5</v>
      </c>
      <c r="H166" s="180"/>
      <c r="I166" s="180"/>
      <c r="J166" s="180"/>
      <c r="K166" s="180"/>
      <c r="L166" s="180"/>
      <c r="M166" s="180"/>
      <c r="N166" s="180"/>
      <c r="O166" s="180"/>
      <c r="P166" s="180"/>
      <c r="AS166" s="180"/>
      <c r="AT166" s="180"/>
      <c r="AU166" s="180"/>
      <c r="AV166" s="180"/>
      <c r="AW166" s="180"/>
      <c r="AX166" s="180"/>
      <c r="AY166" s="180"/>
      <c r="AZ166" s="180"/>
      <c r="BA166" s="180"/>
      <c r="BB166" s="180"/>
      <c r="BC166" s="180"/>
      <c r="BD166" s="180"/>
      <c r="BE166" s="180"/>
      <c r="BF166" s="180"/>
      <c r="BG166" s="180"/>
      <c r="BH166" s="180"/>
      <c r="BI166" s="180"/>
      <c r="BJ166" s="180"/>
      <c r="BK166" s="180"/>
      <c r="BL166" s="180"/>
      <c r="BM166" s="180"/>
      <c r="BN166" s="180"/>
      <c r="BO166" s="180"/>
      <c r="BP166" s="180"/>
      <c r="BQ166" s="180"/>
      <c r="BR166" s="180"/>
      <c r="BS166" s="180"/>
      <c r="BT166" s="180"/>
      <c r="BU166" s="180"/>
      <c r="BV166" s="180"/>
      <c r="BW166" s="180"/>
      <c r="BX166" s="180"/>
      <c r="BY166" s="180"/>
      <c r="BZ166" s="180"/>
      <c r="CA166" s="180"/>
      <c r="CB166" s="180"/>
      <c r="CC166" s="180"/>
      <c r="CD166" s="180"/>
      <c r="CE166" s="180"/>
      <c r="CF166" s="180"/>
      <c r="CG166" s="180"/>
      <c r="CH166" s="180"/>
      <c r="CI166" s="180"/>
      <c r="CJ166" s="180"/>
      <c r="CK166" s="180"/>
      <c r="CL166" s="180"/>
      <c r="CM166" s="180"/>
      <c r="CN166" s="180"/>
      <c r="CO166" s="180"/>
      <c r="CP166" s="180"/>
      <c r="CQ166" s="180"/>
      <c r="CR166" s="180"/>
      <c r="CS166" s="180"/>
      <c r="CT166" s="180"/>
      <c r="CU166" s="180"/>
      <c r="CV166" s="180"/>
      <c r="CW166" s="180"/>
      <c r="CX166" s="180"/>
      <c r="CY166" s="180"/>
      <c r="CZ166" s="180"/>
    </row>
    <row r="167" spans="1:104" x14ac:dyDescent="0.45">
      <c r="A167" s="180" t="s">
        <v>2</v>
      </c>
      <c r="B167" s="73">
        <v>2</v>
      </c>
      <c r="C167" s="73"/>
      <c r="D167" s="180" t="s">
        <v>309</v>
      </c>
      <c r="E167" s="39">
        <v>43596</v>
      </c>
      <c r="F167" s="179">
        <v>0.34583333333333338</v>
      </c>
      <c r="G167" s="180">
        <v>1</v>
      </c>
      <c r="H167" s="180"/>
      <c r="I167" s="180"/>
      <c r="J167" s="180"/>
      <c r="K167" s="180"/>
      <c r="L167" s="180"/>
      <c r="M167" s="180"/>
      <c r="N167" s="180"/>
      <c r="O167" s="180"/>
      <c r="P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0"/>
      <c r="BR167" s="180"/>
      <c r="BS167" s="180"/>
      <c r="BT167" s="180"/>
      <c r="BU167" s="180"/>
      <c r="BV167" s="180"/>
      <c r="BW167" s="180"/>
      <c r="BX167" s="180"/>
      <c r="BY167" s="180"/>
      <c r="BZ167" s="180"/>
      <c r="CA167" s="180"/>
      <c r="CB167" s="180"/>
      <c r="CC167" s="180"/>
      <c r="CD167" s="180"/>
      <c r="CE167" s="180"/>
      <c r="CF167" s="180"/>
      <c r="CG167" s="180"/>
      <c r="CH167" s="180"/>
      <c r="CI167" s="180"/>
      <c r="CJ167" s="180"/>
      <c r="CK167" s="180"/>
      <c r="CL167" s="180"/>
      <c r="CM167" s="180"/>
      <c r="CN167" s="180"/>
      <c r="CO167" s="180"/>
      <c r="CP167" s="180"/>
      <c r="CQ167" s="180"/>
      <c r="CR167" s="180"/>
      <c r="CS167" s="180"/>
      <c r="CT167" s="180"/>
      <c r="CU167" s="180"/>
      <c r="CV167" s="180"/>
      <c r="CW167" s="180"/>
      <c r="CX167" s="180"/>
      <c r="CY167" s="180"/>
      <c r="CZ167" s="180"/>
    </row>
    <row r="168" spans="1:104" x14ac:dyDescent="0.45">
      <c r="A168" s="180" t="s">
        <v>2</v>
      </c>
      <c r="B168" s="73">
        <v>2</v>
      </c>
      <c r="C168" s="73"/>
      <c r="D168" s="180" t="s">
        <v>309</v>
      </c>
      <c r="E168" s="39">
        <v>43596</v>
      </c>
      <c r="F168" s="179">
        <v>0.29444444444444445</v>
      </c>
      <c r="G168" s="180">
        <v>1</v>
      </c>
      <c r="H168" s="180" t="s">
        <v>362</v>
      </c>
      <c r="I168" s="180"/>
      <c r="J168" s="180"/>
      <c r="K168" s="180"/>
      <c r="L168" s="180"/>
      <c r="M168" s="180"/>
      <c r="N168" s="180"/>
      <c r="O168" s="180"/>
      <c r="P168" s="180"/>
      <c r="AS168" s="180"/>
      <c r="AT168" s="180"/>
      <c r="AU168" s="180"/>
      <c r="AV168" s="180"/>
      <c r="AW168" s="180"/>
      <c r="AX168" s="180"/>
      <c r="AY168" s="180"/>
      <c r="AZ168" s="180"/>
      <c r="BA168" s="180"/>
      <c r="BB168" s="180"/>
      <c r="BC168" s="180"/>
      <c r="BD168" s="180"/>
      <c r="BE168" s="180"/>
      <c r="BF168" s="180"/>
      <c r="BG168" s="180"/>
      <c r="BH168" s="180"/>
      <c r="BI168" s="180"/>
      <c r="BJ168" s="180"/>
      <c r="BK168" s="180"/>
      <c r="BL168" s="180"/>
      <c r="BM168" s="180"/>
      <c r="BN168" s="180"/>
      <c r="BO168" s="180"/>
      <c r="BP168" s="180"/>
      <c r="BQ168" s="180"/>
      <c r="BR168" s="180"/>
      <c r="BS168" s="180"/>
      <c r="BT168" s="180"/>
      <c r="BU168" s="180"/>
      <c r="BV168" s="180"/>
      <c r="BW168" s="180"/>
      <c r="BX168" s="180"/>
      <c r="BY168" s="180"/>
      <c r="BZ168" s="180"/>
      <c r="CA168" s="180"/>
      <c r="CB168" s="180"/>
      <c r="CC168" s="180"/>
      <c r="CD168" s="180"/>
      <c r="CE168" s="180"/>
      <c r="CF168" s="180"/>
      <c r="CG168" s="180"/>
      <c r="CH168" s="180"/>
      <c r="CI168" s="180"/>
      <c r="CJ168" s="180"/>
      <c r="CK168" s="180"/>
      <c r="CL168" s="180"/>
      <c r="CM168" s="180"/>
      <c r="CN168" s="180"/>
      <c r="CO168" s="180"/>
      <c r="CP168" s="180"/>
      <c r="CQ168" s="180"/>
      <c r="CR168" s="180"/>
      <c r="CS168" s="180"/>
      <c r="CT168" s="180"/>
      <c r="CU168" s="180"/>
      <c r="CV168" s="180"/>
      <c r="CW168" s="180"/>
      <c r="CX168" s="180"/>
      <c r="CY168" s="180"/>
      <c r="CZ168" s="180"/>
    </row>
    <row r="169" spans="1:104" x14ac:dyDescent="0.45">
      <c r="A169" s="180" t="s">
        <v>2</v>
      </c>
      <c r="B169" s="73">
        <v>5</v>
      </c>
      <c r="C169" s="73"/>
      <c r="D169" s="180" t="s">
        <v>309</v>
      </c>
      <c r="E169" s="39">
        <v>43596</v>
      </c>
      <c r="F169" s="179">
        <v>0.28611111111111115</v>
      </c>
      <c r="G169" s="180">
        <v>13</v>
      </c>
      <c r="H169" s="180"/>
      <c r="I169" s="180"/>
      <c r="J169" s="180"/>
      <c r="K169" s="180"/>
      <c r="L169" s="180"/>
      <c r="M169" s="180"/>
      <c r="N169" s="180"/>
      <c r="O169" s="180"/>
      <c r="P169" s="180"/>
      <c r="AS169" s="180"/>
      <c r="AT169" s="180"/>
      <c r="AU169" s="180"/>
      <c r="AV169" s="180"/>
      <c r="AW169" s="180"/>
      <c r="AX169" s="180"/>
      <c r="AY169" s="180"/>
      <c r="AZ169" s="180"/>
      <c r="BA169" s="180"/>
      <c r="BB169" s="180"/>
      <c r="BC169" s="180"/>
      <c r="BD169" s="180"/>
      <c r="BE169" s="180"/>
      <c r="BF169" s="180"/>
      <c r="BG169" s="180"/>
      <c r="BH169" s="180"/>
      <c r="BI169" s="180"/>
      <c r="BJ169" s="180"/>
      <c r="BK169" s="180"/>
      <c r="BL169" s="180"/>
      <c r="BM169" s="180"/>
      <c r="BN169" s="180"/>
      <c r="BO169" s="180"/>
      <c r="BP169" s="180"/>
      <c r="BQ169" s="180"/>
      <c r="BR169" s="180"/>
      <c r="BS169" s="180"/>
      <c r="BT169" s="180"/>
      <c r="BU169" s="180"/>
      <c r="BV169" s="180"/>
      <c r="BW169" s="180"/>
      <c r="BX169" s="180"/>
      <c r="BY169" s="180"/>
      <c r="BZ169" s="180"/>
      <c r="CA169" s="180"/>
      <c r="CB169" s="180"/>
      <c r="CC169" s="180"/>
      <c r="CD169" s="180"/>
      <c r="CE169" s="180"/>
      <c r="CF169" s="180"/>
      <c r="CG169" s="180"/>
      <c r="CH169" s="180"/>
      <c r="CI169" s="180"/>
      <c r="CJ169" s="180"/>
      <c r="CK169" s="180"/>
      <c r="CL169" s="180"/>
      <c r="CM169" s="180"/>
      <c r="CN169" s="180"/>
      <c r="CO169" s="180"/>
      <c r="CP169" s="180"/>
      <c r="CQ169" s="180"/>
      <c r="CR169" s="180"/>
      <c r="CS169" s="180"/>
      <c r="CT169" s="180"/>
      <c r="CU169" s="180"/>
      <c r="CV169" s="180"/>
      <c r="CW169" s="180"/>
      <c r="CX169" s="180"/>
      <c r="CY169" s="180"/>
      <c r="CZ169" s="180"/>
    </row>
    <row r="170" spans="1:104" x14ac:dyDescent="0.45">
      <c r="A170" s="180" t="s">
        <v>2</v>
      </c>
      <c r="B170" s="73">
        <v>1</v>
      </c>
      <c r="C170" s="73"/>
      <c r="D170" s="180" t="s">
        <v>309</v>
      </c>
      <c r="E170" s="39">
        <v>43596</v>
      </c>
      <c r="F170" s="179">
        <v>0.29166666666666669</v>
      </c>
      <c r="G170" s="180">
        <v>20</v>
      </c>
      <c r="H170" s="180" t="s">
        <v>363</v>
      </c>
      <c r="I170" s="180"/>
      <c r="J170" s="180"/>
      <c r="K170" s="180"/>
      <c r="L170" s="180"/>
      <c r="M170" s="180"/>
      <c r="N170" s="180"/>
      <c r="O170" s="180"/>
      <c r="P170" s="180"/>
      <c r="AS170" s="180"/>
      <c r="AT170" s="180"/>
      <c r="AU170" s="180"/>
      <c r="AV170" s="180"/>
      <c r="AW170" s="180"/>
      <c r="AX170" s="180"/>
      <c r="AY170" s="180"/>
      <c r="AZ170" s="180"/>
      <c r="BA170" s="180"/>
      <c r="BB170" s="180"/>
      <c r="BC170" s="180"/>
      <c r="BD170" s="180"/>
      <c r="BE170" s="180"/>
      <c r="BF170" s="180"/>
      <c r="BG170" s="180"/>
      <c r="BH170" s="180"/>
      <c r="BI170" s="180"/>
      <c r="BJ170" s="180"/>
      <c r="BK170" s="180"/>
      <c r="BL170" s="180"/>
      <c r="BM170" s="180"/>
      <c r="BN170" s="180"/>
      <c r="BO170" s="180"/>
      <c r="BP170" s="180"/>
      <c r="BQ170" s="180"/>
      <c r="BR170" s="180"/>
      <c r="BS170" s="180"/>
      <c r="BT170" s="180"/>
      <c r="BU170" s="180"/>
      <c r="BV170" s="180"/>
      <c r="BW170" s="180"/>
      <c r="BX170" s="180"/>
      <c r="BY170" s="180"/>
      <c r="BZ170" s="180"/>
      <c r="CA170" s="180"/>
      <c r="CB170" s="180"/>
      <c r="CC170" s="180"/>
      <c r="CD170" s="180"/>
      <c r="CE170" s="180"/>
      <c r="CF170" s="180"/>
      <c r="CG170" s="180"/>
      <c r="CH170" s="180"/>
      <c r="CI170" s="180"/>
      <c r="CJ170" s="180"/>
      <c r="CK170" s="180"/>
      <c r="CL170" s="180"/>
      <c r="CM170" s="180"/>
      <c r="CN170" s="180"/>
      <c r="CO170" s="180"/>
      <c r="CP170" s="180"/>
      <c r="CQ170" s="180"/>
      <c r="CR170" s="180"/>
      <c r="CS170" s="180"/>
      <c r="CT170" s="180"/>
      <c r="CU170" s="180"/>
      <c r="CV170" s="180"/>
      <c r="CW170" s="180"/>
      <c r="CX170" s="180"/>
      <c r="CY170" s="180"/>
      <c r="CZ170" s="180"/>
    </row>
    <row r="171" spans="1:104" x14ac:dyDescent="0.45">
      <c r="A171" s="180" t="s">
        <v>2</v>
      </c>
      <c r="B171" s="73">
        <v>6</v>
      </c>
      <c r="C171" s="73">
        <v>6</v>
      </c>
      <c r="D171" s="180" t="s">
        <v>309</v>
      </c>
      <c r="E171" s="39">
        <v>43596</v>
      </c>
      <c r="F171" s="179">
        <v>0.32291666666666669</v>
      </c>
      <c r="G171" s="180">
        <v>1</v>
      </c>
      <c r="H171" s="180" t="s">
        <v>364</v>
      </c>
      <c r="I171" s="180" t="s">
        <v>365</v>
      </c>
      <c r="J171" s="180"/>
      <c r="K171" s="180"/>
      <c r="L171" s="180"/>
      <c r="M171" s="180"/>
      <c r="N171" s="180"/>
      <c r="O171" s="180"/>
      <c r="P171" s="180"/>
      <c r="AS171" s="180"/>
      <c r="AT171" s="180"/>
      <c r="AU171" s="180"/>
      <c r="AV171" s="180"/>
      <c r="AW171" s="180"/>
      <c r="AX171" s="180"/>
      <c r="AY171" s="180"/>
      <c r="AZ171" s="180"/>
      <c r="BA171" s="180"/>
      <c r="BB171" s="180"/>
      <c r="BC171" s="180"/>
      <c r="BD171" s="180"/>
      <c r="BE171" s="180"/>
      <c r="BF171" s="180"/>
      <c r="BG171" s="180"/>
      <c r="BH171" s="180"/>
      <c r="BI171" s="180"/>
      <c r="BJ171" s="180"/>
      <c r="BK171" s="180"/>
      <c r="BL171" s="180"/>
      <c r="BM171" s="180"/>
      <c r="BN171" s="180"/>
      <c r="BO171" s="180"/>
      <c r="BP171" s="180"/>
      <c r="BQ171" s="180"/>
      <c r="BR171" s="180"/>
      <c r="BS171" s="180"/>
      <c r="BT171" s="180"/>
      <c r="BU171" s="180"/>
      <c r="BV171" s="180"/>
      <c r="BW171" s="180"/>
      <c r="BX171" s="180"/>
      <c r="BY171" s="180"/>
      <c r="BZ171" s="180"/>
      <c r="CA171" s="180"/>
      <c r="CB171" s="180"/>
      <c r="CC171" s="180"/>
      <c r="CD171" s="180"/>
      <c r="CE171" s="180"/>
      <c r="CF171" s="180"/>
      <c r="CG171" s="180"/>
      <c r="CH171" s="180"/>
      <c r="CI171" s="180"/>
      <c r="CJ171" s="180"/>
      <c r="CK171" s="180"/>
      <c r="CL171" s="180"/>
      <c r="CM171" s="180"/>
      <c r="CN171" s="180"/>
      <c r="CO171" s="180"/>
      <c r="CP171" s="180"/>
      <c r="CQ171" s="180"/>
      <c r="CR171" s="180"/>
      <c r="CS171" s="180"/>
      <c r="CT171" s="180"/>
      <c r="CU171" s="180"/>
      <c r="CV171" s="180"/>
      <c r="CW171" s="180"/>
      <c r="CX171" s="180"/>
      <c r="CY171" s="180"/>
      <c r="CZ171" s="180"/>
    </row>
    <row r="172" spans="1:104" x14ac:dyDescent="0.45">
      <c r="A172" s="180" t="s">
        <v>2</v>
      </c>
      <c r="B172" s="73">
        <v>5</v>
      </c>
      <c r="C172" s="73"/>
      <c r="D172" s="180" t="s">
        <v>309</v>
      </c>
      <c r="E172" s="39">
        <v>43596</v>
      </c>
      <c r="F172" s="179">
        <v>0.37986111111111115</v>
      </c>
      <c r="G172" s="180">
        <v>1</v>
      </c>
      <c r="H172" s="180"/>
      <c r="I172" s="180"/>
      <c r="J172" s="180"/>
      <c r="K172" s="180"/>
      <c r="L172" s="180"/>
      <c r="M172" s="180"/>
      <c r="N172" s="180"/>
      <c r="O172" s="180"/>
      <c r="P172" s="180"/>
      <c r="AS172" s="180"/>
      <c r="AT172" s="180"/>
      <c r="AU172" s="180"/>
      <c r="AV172" s="180"/>
      <c r="AW172" s="180"/>
      <c r="AX172" s="180"/>
      <c r="AY172" s="180"/>
      <c r="AZ172" s="180"/>
      <c r="BA172" s="180"/>
      <c r="BB172" s="180"/>
      <c r="BC172" s="180"/>
      <c r="BD172" s="180"/>
      <c r="BE172" s="180"/>
      <c r="BF172" s="180"/>
      <c r="BG172" s="180"/>
      <c r="BH172" s="180"/>
      <c r="BI172" s="180"/>
      <c r="BJ172" s="180"/>
      <c r="BK172" s="180"/>
      <c r="BL172" s="180"/>
      <c r="BM172" s="180"/>
      <c r="BN172" s="180"/>
      <c r="BO172" s="180"/>
      <c r="BP172" s="180"/>
      <c r="BQ172" s="180"/>
      <c r="BR172" s="180"/>
      <c r="BS172" s="180"/>
      <c r="BT172" s="180"/>
      <c r="BU172" s="180"/>
      <c r="BV172" s="180"/>
      <c r="BW172" s="180"/>
      <c r="BX172" s="180"/>
      <c r="BY172" s="180"/>
      <c r="BZ172" s="180"/>
      <c r="CA172" s="180"/>
      <c r="CB172" s="180"/>
      <c r="CC172" s="180"/>
      <c r="CD172" s="180"/>
      <c r="CE172" s="180"/>
      <c r="CF172" s="180"/>
      <c r="CG172" s="180"/>
      <c r="CH172" s="180"/>
      <c r="CI172" s="180"/>
      <c r="CJ172" s="180"/>
      <c r="CK172" s="180"/>
      <c r="CL172" s="180"/>
      <c r="CM172" s="180"/>
      <c r="CN172" s="180"/>
      <c r="CO172" s="180"/>
      <c r="CP172" s="180"/>
      <c r="CQ172" s="180"/>
      <c r="CR172" s="180"/>
      <c r="CS172" s="180"/>
      <c r="CT172" s="180"/>
      <c r="CU172" s="180"/>
      <c r="CV172" s="180"/>
      <c r="CW172" s="180"/>
      <c r="CX172" s="180"/>
      <c r="CY172" s="180"/>
      <c r="CZ172" s="180"/>
    </row>
    <row r="173" spans="1:104" x14ac:dyDescent="0.45">
      <c r="A173" s="180" t="s">
        <v>2</v>
      </c>
      <c r="B173" s="73">
        <v>3</v>
      </c>
      <c r="C173" s="73"/>
      <c r="D173" s="180" t="s">
        <v>309</v>
      </c>
      <c r="E173" s="39">
        <v>43596</v>
      </c>
      <c r="F173" s="179">
        <v>0.3347222222222222</v>
      </c>
      <c r="G173" s="180">
        <v>1</v>
      </c>
      <c r="H173" s="180"/>
      <c r="I173" s="180"/>
      <c r="J173" s="180"/>
      <c r="K173" s="180"/>
      <c r="L173" s="180"/>
      <c r="M173" s="180"/>
      <c r="N173" s="180"/>
      <c r="O173" s="180"/>
      <c r="P173" s="180"/>
      <c r="AS173" s="180"/>
      <c r="AT173" s="180"/>
      <c r="AU173" s="180"/>
      <c r="AV173" s="180"/>
      <c r="AW173" s="180"/>
      <c r="AX173" s="180"/>
      <c r="AY173" s="180"/>
      <c r="AZ173" s="180"/>
      <c r="BA173" s="180"/>
      <c r="BB173" s="180"/>
      <c r="BC173" s="180"/>
      <c r="BD173" s="180"/>
      <c r="BE173" s="180"/>
      <c r="BF173" s="180"/>
      <c r="BG173" s="180"/>
      <c r="BH173" s="180"/>
      <c r="BI173" s="180"/>
      <c r="BJ173" s="180"/>
      <c r="BK173" s="180"/>
      <c r="BL173" s="180"/>
      <c r="BM173" s="180"/>
      <c r="BN173" s="180"/>
      <c r="BO173" s="180"/>
      <c r="BP173" s="180"/>
      <c r="BQ173" s="180"/>
      <c r="BR173" s="180"/>
      <c r="BS173" s="180"/>
      <c r="BT173" s="180"/>
      <c r="BU173" s="180"/>
      <c r="BV173" s="180"/>
      <c r="BW173" s="180"/>
      <c r="BX173" s="180"/>
      <c r="BY173" s="180"/>
      <c r="BZ173" s="180"/>
      <c r="CA173" s="180"/>
      <c r="CB173" s="180"/>
      <c r="CC173" s="180"/>
      <c r="CD173" s="180"/>
      <c r="CE173" s="180"/>
      <c r="CF173" s="180"/>
      <c r="CG173" s="180"/>
      <c r="CH173" s="180"/>
      <c r="CI173" s="180"/>
      <c r="CJ173" s="180"/>
      <c r="CK173" s="180"/>
      <c r="CL173" s="180"/>
      <c r="CM173" s="180"/>
      <c r="CN173" s="180"/>
      <c r="CO173" s="180"/>
      <c r="CP173" s="180"/>
      <c r="CQ173" s="180"/>
      <c r="CR173" s="180"/>
      <c r="CS173" s="180"/>
      <c r="CT173" s="180"/>
      <c r="CU173" s="180"/>
      <c r="CV173" s="180"/>
      <c r="CW173" s="180"/>
      <c r="CX173" s="180"/>
      <c r="CY173" s="180"/>
      <c r="CZ173" s="180"/>
    </row>
    <row r="174" spans="1:104" x14ac:dyDescent="0.45">
      <c r="A174" s="180" t="s">
        <v>2</v>
      </c>
      <c r="B174" s="73">
        <v>2</v>
      </c>
      <c r="C174" s="73">
        <v>2</v>
      </c>
      <c r="D174" s="180" t="s">
        <v>271</v>
      </c>
      <c r="E174" s="39">
        <v>43596</v>
      </c>
      <c r="F174" s="179">
        <v>0.33333333333333331</v>
      </c>
      <c r="G174" s="180">
        <v>6</v>
      </c>
      <c r="H174" s="180" t="s">
        <v>327</v>
      </c>
      <c r="I174" s="180"/>
      <c r="J174" s="180"/>
      <c r="K174" s="180"/>
      <c r="L174" s="180"/>
      <c r="M174" s="180"/>
      <c r="N174" s="180"/>
      <c r="O174" s="180"/>
      <c r="P174" s="180"/>
      <c r="AS174" s="180"/>
      <c r="AT174" s="180"/>
      <c r="AU174" s="180"/>
      <c r="AV174" s="180"/>
      <c r="AW174" s="180"/>
      <c r="AX174" s="180"/>
      <c r="AY174" s="180"/>
      <c r="AZ174" s="180"/>
      <c r="BA174" s="180"/>
      <c r="BB174" s="180"/>
      <c r="BC174" s="180"/>
      <c r="BD174" s="180"/>
      <c r="BE174" s="180"/>
      <c r="BF174" s="180"/>
      <c r="BG174" s="180"/>
      <c r="BH174" s="180"/>
      <c r="BI174" s="180"/>
      <c r="BJ174" s="180"/>
      <c r="BK174" s="180"/>
      <c r="BL174" s="180"/>
      <c r="BM174" s="180"/>
      <c r="BN174" s="180"/>
      <c r="BO174" s="180"/>
      <c r="BP174" s="180"/>
      <c r="BQ174" s="180"/>
      <c r="BR174" s="180"/>
      <c r="BS174" s="180"/>
      <c r="BT174" s="180"/>
      <c r="BU174" s="180"/>
      <c r="BV174" s="180"/>
      <c r="BW174" s="180"/>
      <c r="BX174" s="180"/>
      <c r="BY174" s="180"/>
      <c r="BZ174" s="180"/>
      <c r="CA174" s="180"/>
      <c r="CB174" s="180"/>
      <c r="CC174" s="180"/>
      <c r="CD174" s="180"/>
      <c r="CE174" s="180"/>
      <c r="CF174" s="180"/>
      <c r="CG174" s="180"/>
      <c r="CH174" s="180"/>
      <c r="CI174" s="180"/>
      <c r="CJ174" s="180"/>
      <c r="CK174" s="180"/>
      <c r="CL174" s="180"/>
      <c r="CM174" s="180"/>
      <c r="CN174" s="180"/>
      <c r="CO174" s="180"/>
      <c r="CP174" s="180"/>
      <c r="CQ174" s="180"/>
      <c r="CR174" s="180"/>
      <c r="CS174" s="180"/>
      <c r="CT174" s="180"/>
      <c r="CU174" s="180"/>
      <c r="CV174" s="180"/>
      <c r="CW174" s="180"/>
      <c r="CX174" s="180"/>
      <c r="CY174" s="180"/>
      <c r="CZ174" s="180"/>
    </row>
    <row r="175" spans="1:104" x14ac:dyDescent="0.45">
      <c r="A175" s="180" t="s">
        <v>2</v>
      </c>
      <c r="B175" s="73">
        <v>5</v>
      </c>
      <c r="C175" s="73"/>
      <c r="D175" s="180" t="s">
        <v>366</v>
      </c>
      <c r="E175" s="39">
        <v>43597</v>
      </c>
      <c r="F175" s="179">
        <v>0.4055555555555555</v>
      </c>
      <c r="G175" s="180">
        <v>1</v>
      </c>
      <c r="H175" s="180"/>
      <c r="I175" s="180"/>
      <c r="J175" s="180"/>
      <c r="K175" s="180"/>
      <c r="L175" s="180"/>
      <c r="M175" s="180"/>
      <c r="N175" s="180"/>
      <c r="O175" s="180"/>
      <c r="P175" s="180"/>
      <c r="AS175" s="180"/>
      <c r="AT175" s="180"/>
      <c r="AU175" s="180"/>
      <c r="AV175" s="180"/>
      <c r="AW175" s="180"/>
      <c r="AX175" s="180"/>
      <c r="AY175" s="180"/>
      <c r="AZ175" s="180"/>
      <c r="BA175" s="180"/>
      <c r="BB175" s="180"/>
      <c r="BC175" s="180"/>
      <c r="BD175" s="180"/>
      <c r="BE175" s="180"/>
      <c r="BF175" s="180"/>
      <c r="BG175" s="180"/>
      <c r="BH175" s="180"/>
      <c r="BI175" s="180"/>
      <c r="BJ175" s="180"/>
      <c r="BK175" s="180"/>
      <c r="BL175" s="180"/>
      <c r="BM175" s="180"/>
      <c r="BN175" s="180"/>
      <c r="BO175" s="180"/>
      <c r="BP175" s="180"/>
      <c r="BQ175" s="180"/>
      <c r="BR175" s="180"/>
      <c r="BS175" s="180"/>
      <c r="BT175" s="180"/>
      <c r="BU175" s="180"/>
      <c r="BV175" s="180"/>
      <c r="BW175" s="180"/>
      <c r="BX175" s="180"/>
      <c r="BY175" s="180"/>
      <c r="BZ175" s="180"/>
      <c r="CA175" s="180"/>
      <c r="CB175" s="180"/>
      <c r="CC175" s="180"/>
      <c r="CD175" s="180"/>
      <c r="CE175" s="180"/>
      <c r="CF175" s="180"/>
      <c r="CG175" s="180"/>
      <c r="CH175" s="180"/>
      <c r="CI175" s="180"/>
      <c r="CJ175" s="180"/>
      <c r="CK175" s="180"/>
      <c r="CL175" s="180"/>
      <c r="CM175" s="180"/>
      <c r="CN175" s="180"/>
      <c r="CO175" s="180"/>
      <c r="CP175" s="180"/>
      <c r="CQ175" s="180"/>
      <c r="CR175" s="180"/>
      <c r="CS175" s="180"/>
      <c r="CT175" s="180"/>
      <c r="CU175" s="180"/>
      <c r="CV175" s="180"/>
      <c r="CW175" s="180"/>
      <c r="CX175" s="180"/>
      <c r="CY175" s="180"/>
      <c r="CZ175" s="180"/>
    </row>
    <row r="176" spans="1:104" x14ac:dyDescent="0.45">
      <c r="A176" s="180" t="s">
        <v>2</v>
      </c>
      <c r="B176" s="73">
        <v>2</v>
      </c>
      <c r="C176" s="73">
        <v>2</v>
      </c>
      <c r="D176" s="180" t="s">
        <v>367</v>
      </c>
      <c r="E176" s="39">
        <v>43597</v>
      </c>
      <c r="F176" s="179">
        <v>0.41597222222222219</v>
      </c>
      <c r="G176" s="180">
        <v>1</v>
      </c>
      <c r="H176" s="180"/>
      <c r="I176" s="180"/>
      <c r="J176" s="180"/>
      <c r="K176" s="180"/>
      <c r="L176" s="180"/>
      <c r="M176" s="180"/>
      <c r="N176" s="180"/>
      <c r="O176" s="180"/>
      <c r="P176" s="180"/>
      <c r="AS176" s="180"/>
      <c r="AT176" s="180"/>
      <c r="AU176" s="180"/>
      <c r="AV176" s="180"/>
      <c r="AW176" s="180"/>
      <c r="AX176" s="180"/>
      <c r="AY176" s="180"/>
      <c r="AZ176" s="180"/>
      <c r="BA176" s="180"/>
      <c r="BB176" s="180"/>
      <c r="BC176" s="180"/>
      <c r="BD176" s="180"/>
      <c r="BE176" s="180"/>
      <c r="BF176" s="180"/>
      <c r="BG176" s="180"/>
      <c r="BH176" s="180"/>
      <c r="BI176" s="180"/>
      <c r="BJ176" s="180"/>
      <c r="BK176" s="180"/>
      <c r="BL176" s="180"/>
      <c r="BM176" s="180"/>
      <c r="BN176" s="180"/>
      <c r="BO176" s="180"/>
      <c r="BP176" s="180"/>
      <c r="BQ176" s="180"/>
      <c r="BR176" s="180"/>
      <c r="BS176" s="180"/>
      <c r="BT176" s="180"/>
      <c r="BU176" s="180"/>
      <c r="BV176" s="180"/>
      <c r="BW176" s="180"/>
      <c r="BX176" s="180"/>
      <c r="BY176" s="180"/>
      <c r="BZ176" s="180"/>
      <c r="CA176" s="180"/>
      <c r="CB176" s="180"/>
      <c r="CC176" s="180"/>
      <c r="CD176" s="180"/>
      <c r="CE176" s="180"/>
      <c r="CF176" s="180"/>
      <c r="CG176" s="180"/>
      <c r="CH176" s="180"/>
      <c r="CI176" s="180"/>
      <c r="CJ176" s="180"/>
      <c r="CK176" s="180"/>
      <c r="CL176" s="180"/>
      <c r="CM176" s="180"/>
      <c r="CN176" s="180"/>
      <c r="CO176" s="180"/>
      <c r="CP176" s="180"/>
      <c r="CQ176" s="180"/>
      <c r="CR176" s="180"/>
      <c r="CS176" s="180"/>
      <c r="CT176" s="180"/>
      <c r="CU176" s="180"/>
      <c r="CV176" s="180"/>
      <c r="CW176" s="180"/>
      <c r="CX176" s="180"/>
      <c r="CY176" s="180"/>
      <c r="CZ176" s="180"/>
    </row>
    <row r="177" spans="1:104" x14ac:dyDescent="0.45">
      <c r="A177" s="180" t="s">
        <v>2</v>
      </c>
      <c r="B177" s="73">
        <v>1</v>
      </c>
      <c r="C177" s="73">
        <v>1</v>
      </c>
      <c r="D177" s="180" t="s">
        <v>309</v>
      </c>
      <c r="E177" s="39">
        <v>43597</v>
      </c>
      <c r="F177" s="179">
        <v>0.36319444444444443</v>
      </c>
      <c r="G177" s="180">
        <v>1</v>
      </c>
      <c r="H177" s="180"/>
      <c r="I177" s="180"/>
      <c r="J177" s="180"/>
      <c r="K177" s="180"/>
      <c r="L177" s="180"/>
      <c r="M177" s="180"/>
      <c r="N177" s="180"/>
      <c r="O177" s="180"/>
      <c r="P177" s="180"/>
      <c r="AS177" s="180"/>
      <c r="AT177" s="180"/>
      <c r="AU177" s="180"/>
      <c r="AV177" s="180"/>
      <c r="AW177" s="180"/>
      <c r="AX177" s="180"/>
      <c r="AY177" s="180"/>
      <c r="AZ177" s="180"/>
      <c r="BA177" s="180"/>
      <c r="BB177" s="180"/>
      <c r="BC177" s="180"/>
      <c r="BD177" s="180"/>
      <c r="BE177" s="180"/>
      <c r="BF177" s="180"/>
      <c r="BG177" s="180"/>
      <c r="BH177" s="180"/>
      <c r="BI177" s="180"/>
      <c r="BJ177" s="180"/>
      <c r="BK177" s="180"/>
      <c r="BL177" s="180"/>
      <c r="BM177" s="180"/>
      <c r="BN177" s="180"/>
      <c r="BO177" s="180"/>
      <c r="BP177" s="180"/>
      <c r="BQ177" s="180"/>
      <c r="BR177" s="180"/>
      <c r="BS177" s="180"/>
      <c r="BT177" s="180"/>
      <c r="BU177" s="180"/>
      <c r="BV177" s="180"/>
      <c r="BW177" s="180"/>
      <c r="BX177" s="180"/>
      <c r="BY177" s="180"/>
      <c r="BZ177" s="180"/>
      <c r="CA177" s="180"/>
      <c r="CB177" s="180"/>
      <c r="CC177" s="180"/>
      <c r="CD177" s="180"/>
      <c r="CE177" s="180"/>
      <c r="CF177" s="180"/>
      <c r="CG177" s="180"/>
      <c r="CH177" s="180"/>
      <c r="CI177" s="180"/>
      <c r="CJ177" s="180"/>
      <c r="CK177" s="180"/>
      <c r="CL177" s="180"/>
      <c r="CM177" s="180"/>
      <c r="CN177" s="180"/>
      <c r="CO177" s="180"/>
      <c r="CP177" s="180"/>
      <c r="CQ177" s="180"/>
      <c r="CR177" s="180"/>
      <c r="CS177" s="180"/>
      <c r="CT177" s="180"/>
      <c r="CU177" s="180"/>
      <c r="CV177" s="180"/>
      <c r="CW177" s="180"/>
      <c r="CX177" s="180"/>
      <c r="CY177" s="180"/>
      <c r="CZ177" s="180"/>
    </row>
    <row r="178" spans="1:104" x14ac:dyDescent="0.45">
      <c r="A178" s="180" t="s">
        <v>2</v>
      </c>
      <c r="B178" s="73">
        <v>1</v>
      </c>
      <c r="C178" s="73">
        <v>1</v>
      </c>
      <c r="D178" s="180" t="s">
        <v>332</v>
      </c>
      <c r="E178" s="39">
        <v>43598</v>
      </c>
      <c r="F178" s="179">
        <v>0.42708333333333331</v>
      </c>
      <c r="G178" s="180">
        <v>1</v>
      </c>
      <c r="H178" s="180" t="s">
        <v>368</v>
      </c>
      <c r="I178" s="180"/>
      <c r="J178" s="180"/>
      <c r="K178" s="180"/>
      <c r="L178" s="180"/>
      <c r="M178" s="180"/>
      <c r="N178" s="180"/>
      <c r="O178" s="180"/>
      <c r="P178" s="180"/>
      <c r="AS178" s="180"/>
      <c r="AT178" s="180"/>
      <c r="AU178" s="180"/>
      <c r="AV178" s="180"/>
      <c r="AW178" s="180"/>
      <c r="AX178" s="180"/>
      <c r="AY178" s="180"/>
      <c r="AZ178" s="180"/>
      <c r="BA178" s="180"/>
      <c r="BB178" s="180"/>
      <c r="BC178" s="180"/>
      <c r="BD178" s="180"/>
      <c r="BE178" s="180"/>
      <c r="BF178" s="180"/>
      <c r="BG178" s="180"/>
      <c r="BH178" s="180"/>
      <c r="BI178" s="180"/>
      <c r="BJ178" s="180"/>
      <c r="BK178" s="180"/>
      <c r="BL178" s="180"/>
      <c r="BM178" s="180"/>
      <c r="BN178" s="180"/>
      <c r="BO178" s="180"/>
      <c r="BP178" s="180"/>
      <c r="BQ178" s="180"/>
      <c r="BR178" s="180"/>
      <c r="BS178" s="180"/>
      <c r="BT178" s="180"/>
      <c r="BU178" s="180"/>
      <c r="BV178" s="180"/>
      <c r="BW178" s="180"/>
      <c r="BX178" s="180"/>
      <c r="BY178" s="180"/>
      <c r="BZ178" s="180"/>
      <c r="CA178" s="180"/>
      <c r="CB178" s="180"/>
      <c r="CC178" s="180"/>
      <c r="CD178" s="180"/>
      <c r="CE178" s="180"/>
      <c r="CF178" s="180"/>
      <c r="CG178" s="180"/>
      <c r="CH178" s="180"/>
      <c r="CI178" s="180"/>
      <c r="CJ178" s="180"/>
      <c r="CK178" s="180"/>
      <c r="CL178" s="180"/>
      <c r="CM178" s="180"/>
      <c r="CN178" s="180"/>
      <c r="CO178" s="180"/>
      <c r="CP178" s="180"/>
      <c r="CQ178" s="180"/>
      <c r="CR178" s="180"/>
      <c r="CS178" s="180"/>
      <c r="CT178" s="180"/>
      <c r="CU178" s="180"/>
      <c r="CV178" s="180"/>
      <c r="CW178" s="180"/>
      <c r="CX178" s="180"/>
      <c r="CY178" s="180"/>
      <c r="CZ178" s="180"/>
    </row>
    <row r="179" spans="1:104" x14ac:dyDescent="0.45">
      <c r="A179" s="180" t="s">
        <v>2</v>
      </c>
      <c r="B179" s="73">
        <v>1</v>
      </c>
      <c r="C179" s="73"/>
      <c r="D179" s="180" t="s">
        <v>332</v>
      </c>
      <c r="E179" s="39">
        <v>43598</v>
      </c>
      <c r="F179" s="179">
        <v>0.42708333333333331</v>
      </c>
      <c r="G179" s="180">
        <v>1</v>
      </c>
      <c r="H179" s="180" t="s">
        <v>368</v>
      </c>
      <c r="I179" s="180"/>
      <c r="J179" s="180"/>
      <c r="K179" s="180"/>
      <c r="L179" s="180"/>
      <c r="M179" s="180"/>
      <c r="N179" s="180"/>
      <c r="O179" s="180"/>
      <c r="P179" s="180"/>
      <c r="AS179" s="180"/>
      <c r="AT179" s="180"/>
      <c r="AU179" s="180"/>
      <c r="AV179" s="180"/>
      <c r="AW179" s="180"/>
      <c r="AX179" s="180"/>
      <c r="AY179" s="180"/>
      <c r="AZ179" s="180"/>
      <c r="BA179" s="180"/>
      <c r="BB179" s="180"/>
      <c r="BC179" s="180"/>
      <c r="BD179" s="180"/>
      <c r="BE179" s="180"/>
      <c r="BF179" s="180"/>
      <c r="BG179" s="180"/>
      <c r="BH179" s="180"/>
      <c r="BI179" s="180"/>
      <c r="BJ179" s="180"/>
      <c r="BK179" s="180"/>
      <c r="BL179" s="180"/>
      <c r="BM179" s="180"/>
      <c r="BN179" s="180"/>
      <c r="BO179" s="180"/>
      <c r="BP179" s="180"/>
      <c r="BQ179" s="180"/>
      <c r="BR179" s="180"/>
      <c r="BS179" s="180"/>
      <c r="BT179" s="180"/>
      <c r="BU179" s="180"/>
      <c r="BV179" s="180"/>
      <c r="BW179" s="180"/>
      <c r="BX179" s="180"/>
      <c r="BY179" s="180"/>
      <c r="BZ179" s="180"/>
      <c r="CA179" s="180"/>
      <c r="CB179" s="180"/>
      <c r="CC179" s="180"/>
      <c r="CD179" s="180"/>
      <c r="CE179" s="180"/>
      <c r="CF179" s="180"/>
      <c r="CG179" s="180"/>
      <c r="CH179" s="180"/>
      <c r="CI179" s="180"/>
      <c r="CJ179" s="180"/>
      <c r="CK179" s="180"/>
      <c r="CL179" s="180"/>
      <c r="CM179" s="180"/>
      <c r="CN179" s="180"/>
      <c r="CO179" s="180"/>
      <c r="CP179" s="180"/>
      <c r="CQ179" s="180"/>
      <c r="CR179" s="180"/>
      <c r="CS179" s="180"/>
      <c r="CT179" s="180"/>
      <c r="CU179" s="180"/>
      <c r="CV179" s="180"/>
      <c r="CW179" s="180"/>
      <c r="CX179" s="180"/>
      <c r="CY179" s="180"/>
      <c r="CZ179" s="180"/>
    </row>
    <row r="180" spans="1:104" x14ac:dyDescent="0.45">
      <c r="A180" s="180" t="s">
        <v>2</v>
      </c>
      <c r="B180" s="73">
        <v>2</v>
      </c>
      <c r="C180" s="73">
        <v>2</v>
      </c>
      <c r="D180" s="180" t="s">
        <v>311</v>
      </c>
      <c r="E180" s="39">
        <v>43598</v>
      </c>
      <c r="F180" s="179">
        <v>0.42708333333333331</v>
      </c>
      <c r="G180" s="180">
        <v>8</v>
      </c>
      <c r="H180" s="180" t="s">
        <v>337</v>
      </c>
      <c r="I180" s="180"/>
      <c r="J180" s="180"/>
      <c r="K180" s="180"/>
      <c r="L180" s="180"/>
      <c r="M180" s="180"/>
      <c r="N180" s="180"/>
      <c r="O180" s="180"/>
      <c r="P180" s="180"/>
      <c r="AS180" s="180"/>
      <c r="AT180" s="180"/>
      <c r="AU180" s="180"/>
      <c r="AV180" s="180"/>
      <c r="AW180" s="180"/>
      <c r="AX180" s="180"/>
      <c r="AY180" s="180"/>
      <c r="AZ180" s="180"/>
      <c r="BA180" s="180"/>
      <c r="BB180" s="180"/>
      <c r="BC180" s="180"/>
      <c r="BD180" s="180"/>
      <c r="BE180" s="180"/>
      <c r="BF180" s="180"/>
      <c r="BG180" s="180"/>
      <c r="BH180" s="180"/>
      <c r="BI180" s="180"/>
      <c r="BJ180" s="180"/>
      <c r="BK180" s="180"/>
      <c r="BL180" s="180"/>
      <c r="BM180" s="180"/>
      <c r="BN180" s="180"/>
      <c r="BO180" s="180"/>
      <c r="BP180" s="180"/>
      <c r="BQ180" s="180"/>
      <c r="BR180" s="180"/>
      <c r="BS180" s="180"/>
      <c r="BT180" s="180"/>
      <c r="BU180" s="180"/>
      <c r="BV180" s="180"/>
      <c r="BW180" s="180"/>
      <c r="BX180" s="180"/>
      <c r="BY180" s="180"/>
      <c r="BZ180" s="180"/>
      <c r="CA180" s="180"/>
      <c r="CB180" s="180"/>
      <c r="CC180" s="180"/>
      <c r="CD180" s="180"/>
      <c r="CE180" s="180"/>
      <c r="CF180" s="180"/>
      <c r="CG180" s="180"/>
      <c r="CH180" s="180"/>
      <c r="CI180" s="180"/>
      <c r="CJ180" s="180"/>
      <c r="CK180" s="180"/>
      <c r="CL180" s="180"/>
      <c r="CM180" s="180"/>
      <c r="CN180" s="180"/>
      <c r="CO180" s="180"/>
      <c r="CP180" s="180"/>
      <c r="CQ180" s="180"/>
      <c r="CR180" s="180"/>
      <c r="CS180" s="180"/>
      <c r="CT180" s="180"/>
      <c r="CU180" s="180"/>
      <c r="CV180" s="180"/>
      <c r="CW180" s="180"/>
      <c r="CX180" s="180"/>
      <c r="CY180" s="180"/>
      <c r="CZ180" s="180"/>
    </row>
    <row r="181" spans="1:104" x14ac:dyDescent="0.45">
      <c r="A181" s="180" t="s">
        <v>2</v>
      </c>
      <c r="B181" s="73">
        <v>1</v>
      </c>
      <c r="C181" s="73">
        <v>1</v>
      </c>
      <c r="D181" s="180" t="s">
        <v>367</v>
      </c>
      <c r="E181" s="39">
        <v>43599</v>
      </c>
      <c r="F181" s="179">
        <v>0.53749999999999998</v>
      </c>
      <c r="G181" s="180">
        <v>2</v>
      </c>
      <c r="H181" s="180"/>
      <c r="I181" s="180" t="s">
        <v>369</v>
      </c>
      <c r="J181" s="180"/>
      <c r="K181" s="180"/>
      <c r="L181" s="180"/>
      <c r="M181" s="180"/>
      <c r="N181" s="180"/>
      <c r="O181" s="180"/>
      <c r="P181" s="180"/>
      <c r="AS181" s="180"/>
      <c r="AT181" s="180"/>
      <c r="AU181" s="180"/>
      <c r="AV181" s="180"/>
      <c r="AW181" s="180"/>
      <c r="AX181" s="180"/>
      <c r="AY181" s="180"/>
      <c r="AZ181" s="180"/>
      <c r="BA181" s="180"/>
      <c r="BB181" s="180"/>
      <c r="BC181" s="180"/>
      <c r="BD181" s="180"/>
      <c r="BE181" s="180"/>
      <c r="BF181" s="180"/>
      <c r="BG181" s="180"/>
      <c r="BH181" s="180"/>
      <c r="BI181" s="180"/>
      <c r="BJ181" s="180"/>
      <c r="BK181" s="180"/>
      <c r="BL181" s="180"/>
      <c r="BM181" s="180"/>
      <c r="BN181" s="180"/>
      <c r="BO181" s="180"/>
      <c r="BP181" s="180"/>
      <c r="BQ181" s="180"/>
      <c r="BR181" s="180"/>
      <c r="BS181" s="180"/>
      <c r="BT181" s="180"/>
      <c r="BU181" s="180"/>
      <c r="BV181" s="180"/>
      <c r="BW181" s="180"/>
      <c r="BX181" s="180"/>
      <c r="BY181" s="180"/>
      <c r="BZ181" s="180"/>
      <c r="CA181" s="180"/>
      <c r="CB181" s="180"/>
      <c r="CC181" s="180"/>
      <c r="CD181" s="180"/>
      <c r="CE181" s="180"/>
      <c r="CF181" s="180"/>
      <c r="CG181" s="180"/>
      <c r="CH181" s="180"/>
      <c r="CI181" s="180"/>
      <c r="CJ181" s="180"/>
      <c r="CK181" s="180"/>
      <c r="CL181" s="180"/>
      <c r="CM181" s="180"/>
      <c r="CN181" s="180"/>
      <c r="CO181" s="180"/>
      <c r="CP181" s="180"/>
      <c r="CQ181" s="180"/>
      <c r="CR181" s="180"/>
      <c r="CS181" s="180"/>
      <c r="CT181" s="180"/>
      <c r="CU181" s="180"/>
      <c r="CV181" s="180"/>
      <c r="CW181" s="180"/>
      <c r="CX181" s="180"/>
      <c r="CY181" s="180"/>
      <c r="CZ181" s="180"/>
    </row>
    <row r="182" spans="1:104" x14ac:dyDescent="0.45">
      <c r="A182" s="180" t="s">
        <v>2</v>
      </c>
      <c r="B182" s="73">
        <v>1</v>
      </c>
      <c r="C182" s="73">
        <v>1</v>
      </c>
      <c r="D182" s="180" t="s">
        <v>271</v>
      </c>
      <c r="E182" s="39">
        <v>43599</v>
      </c>
      <c r="F182" s="179">
        <v>0.50347222222222221</v>
      </c>
      <c r="G182" s="180">
        <v>1</v>
      </c>
      <c r="H182" s="180"/>
      <c r="I182" s="180"/>
      <c r="J182" s="180"/>
      <c r="K182" s="180"/>
      <c r="L182" s="180"/>
      <c r="M182" s="180"/>
      <c r="N182" s="180"/>
      <c r="O182" s="180"/>
      <c r="P182" s="180"/>
      <c r="AS182" s="180"/>
      <c r="AT182" s="180"/>
      <c r="AU182" s="180"/>
      <c r="AV182" s="180"/>
      <c r="AW182" s="180"/>
      <c r="AX182" s="180"/>
      <c r="AY182" s="180"/>
      <c r="AZ182" s="180"/>
      <c r="BA182" s="180"/>
      <c r="BB182" s="180"/>
      <c r="BC182" s="180"/>
      <c r="BD182" s="180"/>
      <c r="BE182" s="180"/>
      <c r="BF182" s="180"/>
      <c r="BG182" s="180"/>
      <c r="BH182" s="180"/>
      <c r="BI182" s="180"/>
      <c r="BJ182" s="180"/>
      <c r="BK182" s="180"/>
      <c r="BL182" s="180"/>
      <c r="BM182" s="180"/>
      <c r="BN182" s="180"/>
      <c r="BO182" s="180"/>
      <c r="BP182" s="180"/>
      <c r="BQ182" s="180"/>
      <c r="BR182" s="180"/>
      <c r="BS182" s="180"/>
      <c r="BT182" s="180"/>
      <c r="BU182" s="180"/>
      <c r="BV182" s="180"/>
      <c r="BW182" s="180"/>
      <c r="BX182" s="180"/>
      <c r="BY182" s="180"/>
      <c r="BZ182" s="180"/>
      <c r="CA182" s="180"/>
      <c r="CB182" s="180"/>
      <c r="CC182" s="180"/>
      <c r="CD182" s="180"/>
      <c r="CE182" s="180"/>
      <c r="CF182" s="180"/>
      <c r="CG182" s="180"/>
      <c r="CH182" s="180"/>
      <c r="CI182" s="180"/>
      <c r="CJ182" s="180"/>
      <c r="CK182" s="180"/>
      <c r="CL182" s="180"/>
      <c r="CM182" s="180"/>
      <c r="CN182" s="180"/>
      <c r="CO182" s="180"/>
      <c r="CP182" s="180"/>
      <c r="CQ182" s="180"/>
      <c r="CR182" s="180"/>
      <c r="CS182" s="180"/>
      <c r="CT182" s="180"/>
      <c r="CU182" s="180"/>
      <c r="CV182" s="180"/>
      <c r="CW182" s="180"/>
      <c r="CX182" s="180"/>
      <c r="CY182" s="180"/>
      <c r="CZ182" s="180"/>
    </row>
    <row r="183" spans="1:104" x14ac:dyDescent="0.45">
      <c r="A183" s="180" t="s">
        <v>2</v>
      </c>
      <c r="B183" s="73">
        <v>2</v>
      </c>
      <c r="C183" s="73"/>
      <c r="D183" s="180" t="s">
        <v>370</v>
      </c>
      <c r="E183" s="39">
        <v>43600</v>
      </c>
      <c r="F183" s="179">
        <v>0.42708333333333331</v>
      </c>
      <c r="G183" s="180">
        <v>1</v>
      </c>
      <c r="H183" s="180"/>
      <c r="I183" s="180"/>
      <c r="J183" s="180"/>
      <c r="K183" s="180"/>
      <c r="L183" s="180"/>
      <c r="M183" s="180"/>
      <c r="N183" s="180"/>
      <c r="O183" s="180"/>
      <c r="P183" s="180"/>
      <c r="AS183" s="180"/>
      <c r="AT183" s="180"/>
      <c r="AU183" s="180"/>
      <c r="AV183" s="180"/>
      <c r="AW183" s="180"/>
      <c r="AX183" s="180"/>
      <c r="AY183" s="180"/>
      <c r="AZ183" s="180"/>
      <c r="BA183" s="180"/>
      <c r="BB183" s="180"/>
      <c r="BC183" s="180"/>
      <c r="BD183" s="180"/>
      <c r="BE183" s="180"/>
      <c r="BF183" s="180"/>
      <c r="BG183" s="180"/>
      <c r="BH183" s="180"/>
      <c r="BI183" s="180"/>
      <c r="BJ183" s="180"/>
      <c r="BK183" s="180"/>
      <c r="BL183" s="180"/>
      <c r="BM183" s="180"/>
      <c r="BN183" s="180"/>
      <c r="BO183" s="180"/>
      <c r="BP183" s="180"/>
      <c r="BQ183" s="180"/>
      <c r="BR183" s="180"/>
      <c r="BS183" s="180"/>
      <c r="BT183" s="180"/>
      <c r="BU183" s="180"/>
      <c r="BV183" s="180"/>
      <c r="BW183" s="180"/>
      <c r="BX183" s="180"/>
      <c r="BY183" s="180"/>
      <c r="BZ183" s="180"/>
      <c r="CA183" s="180"/>
      <c r="CB183" s="180"/>
      <c r="CC183" s="180"/>
      <c r="CD183" s="180"/>
      <c r="CE183" s="180"/>
      <c r="CF183" s="180"/>
      <c r="CG183" s="180"/>
      <c r="CH183" s="180"/>
      <c r="CI183" s="180"/>
      <c r="CJ183" s="180"/>
      <c r="CK183" s="180"/>
      <c r="CL183" s="180"/>
      <c r="CM183" s="180"/>
      <c r="CN183" s="180"/>
      <c r="CO183" s="180"/>
      <c r="CP183" s="180"/>
      <c r="CQ183" s="180"/>
      <c r="CR183" s="180"/>
      <c r="CS183" s="180"/>
      <c r="CT183" s="180"/>
      <c r="CU183" s="180"/>
      <c r="CV183" s="180"/>
      <c r="CW183" s="180"/>
      <c r="CX183" s="180"/>
      <c r="CY183" s="180"/>
      <c r="CZ183" s="180"/>
    </row>
    <row r="184" spans="1:104" x14ac:dyDescent="0.45">
      <c r="A184" s="180" t="s">
        <v>2</v>
      </c>
      <c r="B184" s="73">
        <v>5</v>
      </c>
      <c r="C184" s="73">
        <v>5</v>
      </c>
      <c r="D184" s="180" t="s">
        <v>271</v>
      </c>
      <c r="E184" s="39">
        <v>43600</v>
      </c>
      <c r="F184" s="179">
        <v>0.59027777777777779</v>
      </c>
      <c r="G184" s="180">
        <v>2</v>
      </c>
      <c r="H184" s="180"/>
      <c r="I184" s="180"/>
      <c r="J184" s="180"/>
      <c r="K184" s="180"/>
      <c r="L184" s="180"/>
      <c r="M184" s="180"/>
      <c r="N184" s="180"/>
      <c r="O184" s="180"/>
      <c r="P184" s="180"/>
      <c r="AS184" s="180"/>
      <c r="AT184" s="180"/>
      <c r="AU184" s="180"/>
      <c r="AV184" s="180"/>
      <c r="AW184" s="180"/>
      <c r="AX184" s="180"/>
      <c r="AY184" s="180"/>
      <c r="AZ184" s="180"/>
      <c r="BA184" s="180"/>
      <c r="BB184" s="180"/>
      <c r="BC184" s="180"/>
      <c r="BD184" s="180"/>
      <c r="BE184" s="180"/>
      <c r="BF184" s="180"/>
      <c r="BG184" s="180"/>
      <c r="BH184" s="180"/>
      <c r="BI184" s="180"/>
      <c r="BJ184" s="180"/>
      <c r="BK184" s="180"/>
      <c r="BL184" s="180"/>
      <c r="BM184" s="180"/>
      <c r="BN184" s="180"/>
      <c r="BO184" s="180"/>
      <c r="BP184" s="180"/>
      <c r="BQ184" s="180"/>
      <c r="BR184" s="180"/>
      <c r="BS184" s="180"/>
      <c r="BT184" s="180"/>
      <c r="BU184" s="180"/>
      <c r="BV184" s="180"/>
      <c r="BW184" s="180"/>
      <c r="BX184" s="180"/>
      <c r="BY184" s="180"/>
      <c r="BZ184" s="180"/>
      <c r="CA184" s="180"/>
      <c r="CB184" s="180"/>
      <c r="CC184" s="180"/>
      <c r="CD184" s="180"/>
      <c r="CE184" s="180"/>
      <c r="CF184" s="180"/>
      <c r="CG184" s="180"/>
      <c r="CH184" s="180"/>
      <c r="CI184" s="180"/>
      <c r="CJ184" s="180"/>
      <c r="CK184" s="180"/>
      <c r="CL184" s="180"/>
      <c r="CM184" s="180"/>
      <c r="CN184" s="180"/>
      <c r="CO184" s="180"/>
      <c r="CP184" s="180"/>
      <c r="CQ184" s="180"/>
      <c r="CR184" s="180"/>
      <c r="CS184" s="180"/>
      <c r="CT184" s="180"/>
      <c r="CU184" s="180"/>
      <c r="CV184" s="180"/>
      <c r="CW184" s="180"/>
      <c r="CX184" s="180"/>
      <c r="CY184" s="180"/>
      <c r="CZ184" s="180"/>
    </row>
    <row r="185" spans="1:104" x14ac:dyDescent="0.45">
      <c r="A185" s="180" t="s">
        <v>2</v>
      </c>
      <c r="B185" s="73">
        <v>1</v>
      </c>
      <c r="C185" s="73">
        <v>1</v>
      </c>
      <c r="D185" s="180" t="s">
        <v>271</v>
      </c>
      <c r="E185" s="39">
        <v>43604</v>
      </c>
      <c r="F185" s="179">
        <v>0.7104166666666667</v>
      </c>
      <c r="G185" s="180">
        <v>1</v>
      </c>
      <c r="H185" s="180"/>
      <c r="I185" s="180"/>
      <c r="J185" s="180"/>
      <c r="K185" s="180"/>
      <c r="L185" s="180"/>
      <c r="M185" s="180"/>
      <c r="N185" s="180"/>
      <c r="O185" s="180"/>
      <c r="P185" s="180"/>
      <c r="AS185" s="180"/>
      <c r="AT185" s="180"/>
      <c r="AU185" s="180"/>
      <c r="AV185" s="180"/>
      <c r="AW185" s="180"/>
      <c r="AX185" s="180"/>
      <c r="AY185" s="180"/>
      <c r="AZ185" s="180"/>
      <c r="BA185" s="180"/>
      <c r="BB185" s="180"/>
      <c r="BC185" s="180"/>
      <c r="BD185" s="180"/>
      <c r="BE185" s="180"/>
      <c r="BF185" s="180"/>
      <c r="BG185" s="180"/>
      <c r="BH185" s="180"/>
      <c r="BI185" s="180"/>
      <c r="BJ185" s="180"/>
      <c r="BK185" s="180"/>
      <c r="BL185" s="180"/>
      <c r="BM185" s="180"/>
      <c r="BN185" s="180"/>
      <c r="BO185" s="180"/>
      <c r="BP185" s="180"/>
      <c r="BQ185" s="180"/>
      <c r="BR185" s="180"/>
      <c r="BS185" s="180"/>
      <c r="BT185" s="180"/>
      <c r="BU185" s="180"/>
      <c r="BV185" s="180"/>
      <c r="BW185" s="180"/>
      <c r="BX185" s="180"/>
      <c r="BY185" s="180"/>
      <c r="BZ185" s="180"/>
      <c r="CA185" s="180"/>
      <c r="CB185" s="180"/>
      <c r="CC185" s="180"/>
      <c r="CD185" s="180"/>
      <c r="CE185" s="180"/>
      <c r="CF185" s="180"/>
      <c r="CG185" s="180"/>
      <c r="CH185" s="180"/>
      <c r="CI185" s="180"/>
      <c r="CJ185" s="180"/>
      <c r="CK185" s="180"/>
      <c r="CL185" s="180"/>
      <c r="CM185" s="180"/>
      <c r="CN185" s="180"/>
      <c r="CO185" s="180"/>
      <c r="CP185" s="180"/>
      <c r="CQ185" s="180"/>
      <c r="CR185" s="180"/>
      <c r="CS185" s="180"/>
      <c r="CT185" s="180"/>
      <c r="CU185" s="180"/>
      <c r="CV185" s="180"/>
      <c r="CW185" s="180"/>
      <c r="CX185" s="180"/>
      <c r="CY185" s="180"/>
      <c r="CZ185" s="180"/>
    </row>
    <row r="186" spans="1:104" x14ac:dyDescent="0.45">
      <c r="A186" s="1" t="s">
        <v>273</v>
      </c>
      <c r="B186" s="73"/>
      <c r="C186" s="73">
        <f>SUM(C107:C185)</f>
        <v>267</v>
      </c>
      <c r="D186" s="180"/>
      <c r="E186" s="39"/>
      <c r="F186" s="179"/>
      <c r="G186" s="180"/>
      <c r="H186" s="180"/>
      <c r="I186" s="180"/>
      <c r="J186" s="180"/>
      <c r="K186" s="180"/>
      <c r="L186" s="180"/>
      <c r="M186" s="180"/>
      <c r="N186" s="180"/>
      <c r="O186" s="180"/>
      <c r="P186" s="180"/>
      <c r="AS186" s="180"/>
      <c r="AT186" s="180"/>
      <c r="AU186" s="180"/>
      <c r="AV186" s="180"/>
      <c r="AW186" s="180"/>
      <c r="AX186" s="180"/>
      <c r="AY186" s="180"/>
      <c r="AZ186" s="180"/>
      <c r="BA186" s="180"/>
      <c r="BB186" s="180"/>
      <c r="BC186" s="180"/>
      <c r="BD186" s="180"/>
      <c r="BE186" s="180"/>
      <c r="BF186" s="180"/>
      <c r="BG186" s="180"/>
      <c r="BH186" s="180"/>
      <c r="BI186" s="180"/>
      <c r="BJ186" s="180"/>
      <c r="BK186" s="180"/>
      <c r="BL186" s="180"/>
      <c r="BM186" s="180"/>
      <c r="BN186" s="180"/>
      <c r="BO186" s="180"/>
      <c r="BP186" s="180"/>
      <c r="BQ186" s="180"/>
      <c r="BR186" s="180"/>
      <c r="BS186" s="180"/>
      <c r="BT186" s="180"/>
      <c r="BU186" s="180"/>
      <c r="BV186" s="180"/>
      <c r="BW186" s="180"/>
      <c r="BX186" s="180"/>
      <c r="BY186" s="180"/>
      <c r="BZ186" s="180"/>
      <c r="CA186" s="180"/>
      <c r="CB186" s="180"/>
      <c r="CC186" s="180"/>
      <c r="CD186" s="180"/>
      <c r="CE186" s="180"/>
      <c r="CF186" s="180"/>
      <c r="CG186" s="180"/>
      <c r="CH186" s="180"/>
      <c r="CI186" s="180"/>
      <c r="CJ186" s="180"/>
      <c r="CK186" s="180"/>
      <c r="CL186" s="180"/>
      <c r="CM186" s="180"/>
      <c r="CN186" s="180"/>
      <c r="CO186" s="180"/>
      <c r="CP186" s="180"/>
      <c r="CQ186" s="180"/>
      <c r="CR186" s="180"/>
      <c r="CS186" s="180"/>
      <c r="CT186" s="180"/>
      <c r="CU186" s="180"/>
      <c r="CV186" s="180"/>
      <c r="CW186" s="180"/>
      <c r="CX186" s="180"/>
      <c r="CY186" s="180"/>
      <c r="CZ186" s="180"/>
    </row>
    <row r="187" spans="1:104" x14ac:dyDescent="0.45">
      <c r="A187" s="1"/>
      <c r="B187" s="73"/>
      <c r="C187" s="73"/>
      <c r="D187" s="180"/>
      <c r="E187" s="39"/>
      <c r="F187" s="179"/>
      <c r="G187" s="180"/>
      <c r="H187" s="180"/>
      <c r="I187" s="180"/>
      <c r="J187" s="180"/>
      <c r="K187" s="180"/>
      <c r="L187" s="180"/>
      <c r="M187" s="180"/>
      <c r="N187" s="180"/>
      <c r="O187" s="180"/>
      <c r="P187" s="180"/>
      <c r="AS187" s="180"/>
      <c r="AT187" s="180"/>
      <c r="AU187" s="180"/>
      <c r="AV187" s="180"/>
      <c r="AW187" s="180"/>
      <c r="AX187" s="180"/>
      <c r="AY187" s="180"/>
      <c r="AZ187" s="180"/>
      <c r="BA187" s="180"/>
      <c r="BB187" s="180"/>
      <c r="BC187" s="180"/>
      <c r="BD187" s="180"/>
      <c r="BE187" s="180"/>
      <c r="BF187" s="180"/>
      <c r="BG187" s="180"/>
      <c r="BH187" s="180"/>
      <c r="BI187" s="180"/>
      <c r="BJ187" s="180"/>
      <c r="BK187" s="180"/>
      <c r="BL187" s="180"/>
      <c r="BM187" s="180"/>
      <c r="BN187" s="180"/>
      <c r="BO187" s="180"/>
      <c r="BP187" s="180"/>
      <c r="BQ187" s="180"/>
      <c r="BR187" s="180"/>
      <c r="BS187" s="180"/>
      <c r="BT187" s="180"/>
      <c r="BU187" s="180"/>
      <c r="BV187" s="180"/>
      <c r="BW187" s="180"/>
      <c r="BX187" s="180"/>
      <c r="BY187" s="180"/>
      <c r="BZ187" s="180"/>
      <c r="CA187" s="180"/>
      <c r="CB187" s="180"/>
      <c r="CC187" s="180"/>
      <c r="CD187" s="180"/>
      <c r="CE187" s="180"/>
      <c r="CF187" s="180"/>
      <c r="CG187" s="180"/>
      <c r="CH187" s="180"/>
      <c r="CI187" s="180"/>
      <c r="CJ187" s="180"/>
      <c r="CK187" s="180"/>
      <c r="CL187" s="180"/>
      <c r="CM187" s="180"/>
      <c r="CN187" s="180"/>
      <c r="CO187" s="180"/>
      <c r="CP187" s="180"/>
      <c r="CQ187" s="180"/>
      <c r="CR187" s="180"/>
      <c r="CS187" s="180"/>
      <c r="CT187" s="180"/>
      <c r="CU187" s="180"/>
      <c r="CV187" s="180"/>
      <c r="CW187" s="180"/>
      <c r="CX187" s="180"/>
      <c r="CY187" s="180"/>
      <c r="CZ187" s="180"/>
    </row>
    <row r="188" spans="1:104" x14ac:dyDescent="0.45">
      <c r="A188" s="180" t="s">
        <v>680</v>
      </c>
      <c r="B188" s="73">
        <v>24</v>
      </c>
      <c r="C188" s="73">
        <v>24</v>
      </c>
      <c r="D188" s="180" t="s">
        <v>317</v>
      </c>
      <c r="E188" s="39">
        <v>43573</v>
      </c>
      <c r="F188" s="179">
        <v>0.70000000000000007</v>
      </c>
      <c r="G188" s="180">
        <v>4</v>
      </c>
      <c r="H188" s="180"/>
      <c r="I188" s="180"/>
      <c r="J188" s="180"/>
      <c r="K188" s="180"/>
      <c r="L188" s="180"/>
      <c r="M188" s="180"/>
      <c r="N188" s="180"/>
      <c r="O188" s="180"/>
      <c r="P188" s="180"/>
      <c r="AS188" s="180"/>
      <c r="AT188" s="180"/>
      <c r="AU188" s="180"/>
      <c r="AV188" s="180"/>
      <c r="AW188" s="180"/>
      <c r="AX188" s="180"/>
      <c r="AY188" s="180"/>
      <c r="AZ188" s="180"/>
      <c r="BA188" s="180"/>
      <c r="BB188" s="180"/>
      <c r="BC188" s="180"/>
      <c r="BD188" s="180"/>
      <c r="BE188" s="180"/>
      <c r="BF188" s="180"/>
      <c r="BG188" s="180"/>
      <c r="BH188" s="180"/>
      <c r="BI188" s="180"/>
      <c r="BJ188" s="180"/>
      <c r="BK188" s="180"/>
      <c r="BL188" s="180"/>
      <c r="BM188" s="180"/>
      <c r="BN188" s="180"/>
      <c r="BO188" s="180"/>
      <c r="BP188" s="180"/>
      <c r="BQ188" s="180"/>
      <c r="BR188" s="180"/>
      <c r="BS188" s="180"/>
      <c r="BT188" s="180"/>
      <c r="BU188" s="180"/>
      <c r="BV188" s="180"/>
      <c r="BW188" s="180"/>
      <c r="BX188" s="180"/>
      <c r="BY188" s="180"/>
      <c r="BZ188" s="180"/>
      <c r="CA188" s="180"/>
      <c r="CB188" s="180"/>
      <c r="CC188" s="180"/>
      <c r="CD188" s="180"/>
      <c r="CE188" s="180"/>
      <c r="CF188" s="180"/>
      <c r="CG188" s="180"/>
      <c r="CH188" s="180"/>
      <c r="CI188" s="180"/>
      <c r="CJ188" s="180"/>
      <c r="CK188" s="180"/>
      <c r="CL188" s="180"/>
      <c r="CM188" s="180"/>
      <c r="CN188" s="180"/>
      <c r="CO188" s="180"/>
      <c r="CP188" s="180"/>
      <c r="CQ188" s="180"/>
      <c r="CR188" s="180"/>
      <c r="CS188" s="180"/>
      <c r="CT188" s="180"/>
      <c r="CU188" s="180"/>
      <c r="CV188" s="180"/>
      <c r="CW188" s="180"/>
      <c r="CX188" s="180"/>
      <c r="CY188" s="180"/>
      <c r="CZ188" s="180"/>
    </row>
    <row r="189" spans="1:104" x14ac:dyDescent="0.45">
      <c r="A189" s="180" t="s">
        <v>680</v>
      </c>
      <c r="B189" s="73">
        <v>8</v>
      </c>
      <c r="C189" s="73">
        <v>8</v>
      </c>
      <c r="D189" s="180" t="s">
        <v>317</v>
      </c>
      <c r="E189" s="39">
        <v>43578</v>
      </c>
      <c r="F189" s="179">
        <v>0.81874999999999998</v>
      </c>
      <c r="G189" s="180">
        <v>5</v>
      </c>
      <c r="H189" s="180"/>
      <c r="I189" s="180"/>
      <c r="J189" s="180"/>
      <c r="K189" s="180"/>
      <c r="L189" s="180"/>
      <c r="M189" s="180"/>
      <c r="N189" s="180"/>
      <c r="O189" s="180"/>
      <c r="P189" s="180"/>
      <c r="AS189" s="180"/>
      <c r="AT189" s="180"/>
      <c r="AU189" s="180"/>
      <c r="AV189" s="180"/>
      <c r="AW189" s="180"/>
      <c r="AX189" s="180"/>
      <c r="AY189" s="180"/>
      <c r="AZ189" s="180"/>
      <c r="BA189" s="180"/>
      <c r="BB189" s="180"/>
      <c r="BC189" s="180"/>
      <c r="BD189" s="180"/>
      <c r="BE189" s="180"/>
      <c r="BF189" s="180"/>
      <c r="BG189" s="180"/>
      <c r="BH189" s="180"/>
      <c r="BI189" s="180"/>
      <c r="BJ189" s="180"/>
      <c r="BK189" s="180"/>
      <c r="BL189" s="180"/>
      <c r="BM189" s="180"/>
      <c r="BN189" s="180"/>
      <c r="BO189" s="180"/>
      <c r="BP189" s="180"/>
      <c r="BQ189" s="180"/>
      <c r="BR189" s="180"/>
      <c r="BS189" s="180"/>
      <c r="BT189" s="180"/>
      <c r="BU189" s="180"/>
      <c r="BV189" s="180"/>
      <c r="BW189" s="180"/>
      <c r="BX189" s="180"/>
      <c r="BY189" s="180"/>
      <c r="BZ189" s="180"/>
      <c r="CA189" s="180"/>
      <c r="CB189" s="180"/>
      <c r="CC189" s="180"/>
      <c r="CD189" s="180"/>
      <c r="CE189" s="180"/>
      <c r="CF189" s="180"/>
      <c r="CG189" s="180"/>
      <c r="CH189" s="180"/>
      <c r="CI189" s="180"/>
      <c r="CJ189" s="180"/>
      <c r="CK189" s="180"/>
      <c r="CL189" s="180"/>
      <c r="CM189" s="180"/>
      <c r="CN189" s="180"/>
      <c r="CO189" s="180"/>
      <c r="CP189" s="180"/>
      <c r="CQ189" s="180"/>
      <c r="CR189" s="180"/>
      <c r="CS189" s="180"/>
      <c r="CT189" s="180"/>
      <c r="CU189" s="180"/>
      <c r="CV189" s="180"/>
      <c r="CW189" s="180"/>
      <c r="CX189" s="180"/>
      <c r="CY189" s="180"/>
      <c r="CZ189" s="180"/>
    </row>
    <row r="190" spans="1:104" x14ac:dyDescent="0.45">
      <c r="A190" s="180" t="s">
        <v>680</v>
      </c>
      <c r="B190" s="73">
        <v>8</v>
      </c>
      <c r="C190" s="73"/>
      <c r="D190" s="180" t="s">
        <v>311</v>
      </c>
      <c r="E190" s="39">
        <v>43578</v>
      </c>
      <c r="F190" s="179">
        <v>0.8125</v>
      </c>
      <c r="G190" s="180">
        <v>9</v>
      </c>
      <c r="H190" s="180" t="s">
        <v>346</v>
      </c>
      <c r="I190" s="180"/>
      <c r="J190" s="180"/>
      <c r="K190" s="180"/>
      <c r="L190" s="180"/>
      <c r="M190" s="180"/>
      <c r="N190" s="180"/>
      <c r="O190" s="180"/>
      <c r="P190" s="180"/>
      <c r="AS190" s="180"/>
      <c r="AT190" s="180"/>
      <c r="AU190" s="180"/>
      <c r="AV190" s="180"/>
      <c r="AW190" s="180"/>
      <c r="AX190" s="180"/>
      <c r="AY190" s="180"/>
      <c r="AZ190" s="180"/>
      <c r="BA190" s="180"/>
      <c r="BB190" s="180"/>
      <c r="BC190" s="180"/>
      <c r="BD190" s="180"/>
      <c r="BE190" s="180"/>
      <c r="BF190" s="180"/>
      <c r="BG190" s="180"/>
      <c r="BH190" s="180"/>
      <c r="BI190" s="180"/>
      <c r="BJ190" s="180"/>
      <c r="BK190" s="180"/>
      <c r="BL190" s="180"/>
      <c r="BM190" s="180"/>
      <c r="BN190" s="180"/>
      <c r="BO190" s="180"/>
      <c r="BP190" s="180"/>
      <c r="BQ190" s="180"/>
      <c r="BR190" s="180"/>
      <c r="BS190" s="180"/>
      <c r="BT190" s="180"/>
      <c r="BU190" s="180"/>
      <c r="BV190" s="180"/>
      <c r="BW190" s="180"/>
      <c r="BX190" s="180"/>
      <c r="BY190" s="180"/>
      <c r="BZ190" s="180"/>
      <c r="CA190" s="180"/>
      <c r="CB190" s="180"/>
      <c r="CC190" s="180"/>
      <c r="CD190" s="180"/>
      <c r="CE190" s="180"/>
      <c r="CF190" s="180"/>
      <c r="CG190" s="180"/>
      <c r="CH190" s="180"/>
      <c r="CI190" s="180"/>
      <c r="CJ190" s="180"/>
      <c r="CK190" s="180"/>
      <c r="CL190" s="180"/>
      <c r="CM190" s="180"/>
      <c r="CN190" s="180"/>
      <c r="CO190" s="180"/>
      <c r="CP190" s="180"/>
      <c r="CQ190" s="180"/>
      <c r="CR190" s="180"/>
      <c r="CS190" s="180"/>
      <c r="CT190" s="180"/>
      <c r="CU190" s="180"/>
      <c r="CV190" s="180"/>
      <c r="CW190" s="180"/>
      <c r="CX190" s="180"/>
      <c r="CY190" s="180"/>
      <c r="CZ190" s="180"/>
    </row>
    <row r="191" spans="1:104" x14ac:dyDescent="0.45">
      <c r="A191" s="180" t="s">
        <v>680</v>
      </c>
      <c r="B191" s="73">
        <v>2</v>
      </c>
      <c r="C191" s="73">
        <v>2</v>
      </c>
      <c r="D191" s="180" t="s">
        <v>317</v>
      </c>
      <c r="E191" s="39">
        <v>43598</v>
      </c>
      <c r="F191" s="179">
        <v>0.42569444444444443</v>
      </c>
      <c r="G191" s="180">
        <v>4</v>
      </c>
      <c r="H191" s="180" t="s">
        <v>336</v>
      </c>
      <c r="I191" s="180"/>
      <c r="J191" s="180"/>
      <c r="K191" s="180"/>
      <c r="L191" s="180"/>
      <c r="M191" s="180"/>
      <c r="N191" s="180"/>
      <c r="O191" s="180"/>
      <c r="P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0"/>
      <c r="BR191" s="180"/>
      <c r="BS191" s="180"/>
      <c r="BT191" s="180"/>
      <c r="BU191" s="180"/>
      <c r="BV191" s="180"/>
      <c r="BW191" s="180"/>
      <c r="BX191" s="180"/>
      <c r="BY191" s="180"/>
      <c r="BZ191" s="180"/>
      <c r="CA191" s="180"/>
      <c r="CB191" s="180"/>
      <c r="CC191" s="180"/>
      <c r="CD191" s="180"/>
      <c r="CE191" s="180"/>
      <c r="CF191" s="180"/>
      <c r="CG191" s="180"/>
      <c r="CH191" s="180"/>
      <c r="CI191" s="180"/>
      <c r="CJ191" s="180"/>
      <c r="CK191" s="180"/>
      <c r="CL191" s="180"/>
      <c r="CM191" s="180"/>
      <c r="CN191" s="180"/>
      <c r="CO191" s="180"/>
      <c r="CP191" s="180"/>
      <c r="CQ191" s="180"/>
      <c r="CR191" s="180"/>
      <c r="CS191" s="180"/>
      <c r="CT191" s="180"/>
      <c r="CU191" s="180"/>
      <c r="CV191" s="180"/>
      <c r="CW191" s="180"/>
      <c r="CX191" s="180"/>
      <c r="CY191" s="180"/>
      <c r="CZ191" s="180"/>
    </row>
    <row r="192" spans="1:104" x14ac:dyDescent="0.45">
      <c r="A192" s="1" t="s">
        <v>273</v>
      </c>
      <c r="B192" s="73"/>
      <c r="C192" s="73">
        <f>SUM(C188:C191)</f>
        <v>34</v>
      </c>
      <c r="D192" s="180"/>
      <c r="E192" s="39"/>
      <c r="F192" s="179"/>
      <c r="G192" s="180"/>
      <c r="H192" s="180"/>
      <c r="I192" s="180"/>
      <c r="J192" s="180"/>
      <c r="K192" s="180"/>
      <c r="L192" s="180"/>
      <c r="M192" s="180"/>
      <c r="N192" s="180"/>
      <c r="O192" s="180"/>
      <c r="P192" s="180"/>
      <c r="AS192" s="180"/>
      <c r="AT192" s="180"/>
      <c r="AU192" s="180"/>
      <c r="AV192" s="180"/>
      <c r="AW192" s="180"/>
      <c r="AX192" s="180"/>
      <c r="AY192" s="180"/>
      <c r="AZ192" s="180"/>
      <c r="BA192" s="180"/>
      <c r="BB192" s="180"/>
      <c r="BC192" s="180"/>
      <c r="BD192" s="180"/>
      <c r="BE192" s="180"/>
      <c r="BF192" s="180"/>
      <c r="BG192" s="180"/>
      <c r="BH192" s="180"/>
      <c r="BI192" s="180"/>
      <c r="BJ192" s="180"/>
      <c r="BK192" s="180"/>
      <c r="BL192" s="180"/>
      <c r="BM192" s="180"/>
      <c r="BN192" s="180"/>
      <c r="BO192" s="180"/>
      <c r="BP192" s="180"/>
      <c r="BQ192" s="180"/>
      <c r="BR192" s="180"/>
      <c r="BS192" s="180"/>
      <c r="BT192" s="180"/>
      <c r="BU192" s="180"/>
      <c r="BV192" s="180"/>
      <c r="BW192" s="180"/>
      <c r="BX192" s="180"/>
      <c r="BY192" s="180"/>
      <c r="BZ192" s="180"/>
      <c r="CA192" s="180"/>
      <c r="CB192" s="180"/>
      <c r="CC192" s="180"/>
      <c r="CD192" s="180"/>
      <c r="CE192" s="180"/>
      <c r="CF192" s="180"/>
      <c r="CG192" s="180"/>
      <c r="CH192" s="180"/>
      <c r="CI192" s="180"/>
      <c r="CJ192" s="180"/>
      <c r="CK192" s="180"/>
      <c r="CL192" s="180"/>
      <c r="CM192" s="180"/>
      <c r="CN192" s="180"/>
      <c r="CO192" s="180"/>
      <c r="CP192" s="180"/>
      <c r="CQ192" s="180"/>
      <c r="CR192" s="180"/>
      <c r="CS192" s="180"/>
      <c r="CT192" s="180"/>
      <c r="CU192" s="180"/>
      <c r="CV192" s="180"/>
      <c r="CW192" s="180"/>
      <c r="CX192" s="180"/>
      <c r="CY192" s="180"/>
      <c r="CZ192" s="180"/>
    </row>
    <row r="193" spans="1:104" x14ac:dyDescent="0.45">
      <c r="A193" s="180"/>
      <c r="B193" s="73"/>
      <c r="C193" s="73"/>
      <c r="D193" s="180"/>
      <c r="E193" s="39"/>
      <c r="F193" s="179"/>
      <c r="G193" s="180"/>
      <c r="H193" s="180"/>
      <c r="I193" s="180"/>
      <c r="J193" s="180"/>
      <c r="K193" s="180"/>
      <c r="L193" s="180"/>
      <c r="M193" s="180"/>
      <c r="N193" s="180"/>
      <c r="O193" s="180"/>
      <c r="P193" s="180"/>
      <c r="AS193" s="180"/>
      <c r="AT193" s="180"/>
      <c r="AU193" s="180"/>
      <c r="AV193" s="180"/>
      <c r="AW193" s="180"/>
      <c r="AX193" s="180"/>
      <c r="AY193" s="180"/>
      <c r="AZ193" s="180"/>
      <c r="BA193" s="180"/>
      <c r="BB193" s="180"/>
      <c r="BC193" s="180"/>
      <c r="BD193" s="180"/>
      <c r="BE193" s="180"/>
      <c r="BF193" s="180"/>
      <c r="BG193" s="180"/>
      <c r="BH193" s="180"/>
      <c r="BI193" s="180"/>
      <c r="BJ193" s="180"/>
      <c r="BK193" s="180"/>
      <c r="BL193" s="180"/>
      <c r="BM193" s="180"/>
      <c r="BN193" s="180"/>
      <c r="BO193" s="180"/>
      <c r="BP193" s="180"/>
      <c r="BQ193" s="180"/>
      <c r="BR193" s="180"/>
      <c r="BS193" s="180"/>
      <c r="BT193" s="180"/>
      <c r="BU193" s="180"/>
      <c r="BV193" s="180"/>
      <c r="BW193" s="180"/>
      <c r="BX193" s="180"/>
      <c r="BY193" s="180"/>
      <c r="BZ193" s="180"/>
      <c r="CA193" s="180"/>
      <c r="CB193" s="180"/>
      <c r="CC193" s="180"/>
      <c r="CD193" s="180"/>
      <c r="CE193" s="180"/>
      <c r="CF193" s="180"/>
      <c r="CG193" s="180"/>
      <c r="CH193" s="180"/>
      <c r="CI193" s="180"/>
      <c r="CJ193" s="180"/>
      <c r="CK193" s="180"/>
      <c r="CL193" s="180"/>
      <c r="CM193" s="180"/>
      <c r="CN193" s="180"/>
      <c r="CO193" s="180"/>
      <c r="CP193" s="180"/>
      <c r="CQ193" s="180"/>
      <c r="CR193" s="180"/>
      <c r="CS193" s="180"/>
      <c r="CT193" s="180"/>
      <c r="CU193" s="180"/>
      <c r="CV193" s="180"/>
      <c r="CW193" s="180"/>
      <c r="CX193" s="180"/>
      <c r="CY193" s="180"/>
      <c r="CZ193" s="180"/>
    </row>
    <row r="194" spans="1:104" x14ac:dyDescent="0.45">
      <c r="A194" s="180" t="s">
        <v>14</v>
      </c>
      <c r="B194" s="73">
        <v>5</v>
      </c>
      <c r="C194" s="73">
        <v>5</v>
      </c>
      <c r="D194" s="180" t="s">
        <v>128</v>
      </c>
      <c r="E194" s="39">
        <v>43584</v>
      </c>
      <c r="F194" s="179">
        <v>0.50486111111111109</v>
      </c>
      <c r="G194" s="180">
        <v>1</v>
      </c>
      <c r="H194" s="180" t="s">
        <v>352</v>
      </c>
      <c r="I194" s="180"/>
      <c r="J194" s="180"/>
      <c r="K194" s="180"/>
      <c r="L194" s="180"/>
      <c r="M194" s="180"/>
      <c r="N194" s="180"/>
      <c r="O194" s="180"/>
      <c r="P194" s="180"/>
      <c r="AS194" s="180"/>
      <c r="AT194" s="180"/>
      <c r="AU194" s="180"/>
      <c r="AV194" s="180"/>
      <c r="AW194" s="180"/>
      <c r="AX194" s="180"/>
      <c r="AY194" s="180"/>
      <c r="AZ194" s="180"/>
      <c r="BA194" s="180"/>
      <c r="BB194" s="180"/>
      <c r="BC194" s="180"/>
      <c r="BD194" s="180"/>
      <c r="BE194" s="180"/>
      <c r="BF194" s="180"/>
      <c r="BG194" s="180"/>
      <c r="BH194" s="180"/>
      <c r="BI194" s="180"/>
      <c r="BJ194" s="180"/>
      <c r="BK194" s="180"/>
      <c r="BL194" s="180"/>
      <c r="BM194" s="180"/>
      <c r="BN194" s="180"/>
      <c r="BO194" s="180"/>
      <c r="BP194" s="180"/>
      <c r="BQ194" s="180"/>
      <c r="BR194" s="180"/>
      <c r="BS194" s="180"/>
      <c r="BT194" s="180"/>
      <c r="BU194" s="180"/>
      <c r="BV194" s="180"/>
      <c r="BW194" s="180"/>
      <c r="BX194" s="180"/>
      <c r="BY194" s="180"/>
      <c r="BZ194" s="180"/>
      <c r="CA194" s="180"/>
      <c r="CB194" s="180"/>
      <c r="CC194" s="180"/>
      <c r="CD194" s="180"/>
      <c r="CE194" s="180"/>
      <c r="CF194" s="180"/>
      <c r="CG194" s="180"/>
      <c r="CH194" s="180"/>
      <c r="CI194" s="180"/>
      <c r="CJ194" s="180"/>
      <c r="CK194" s="180"/>
      <c r="CL194" s="180"/>
      <c r="CM194" s="180"/>
      <c r="CN194" s="180"/>
      <c r="CO194" s="180"/>
      <c r="CP194" s="180"/>
      <c r="CQ194" s="180"/>
      <c r="CR194" s="180"/>
      <c r="CS194" s="180"/>
      <c r="CT194" s="180"/>
      <c r="CU194" s="180"/>
      <c r="CV194" s="180"/>
      <c r="CW194" s="180"/>
      <c r="CX194" s="180"/>
      <c r="CY194" s="180"/>
      <c r="CZ194" s="180"/>
    </row>
    <row r="195" spans="1:104" x14ac:dyDescent="0.45">
      <c r="A195" s="180" t="s">
        <v>14</v>
      </c>
      <c r="B195" s="73">
        <v>4</v>
      </c>
      <c r="C195" s="73"/>
      <c r="D195" s="180" t="s">
        <v>309</v>
      </c>
      <c r="E195" s="39">
        <v>43584</v>
      </c>
      <c r="F195" s="179">
        <v>0.55277777777777781</v>
      </c>
      <c r="G195" s="180">
        <v>1</v>
      </c>
      <c r="H195" s="180"/>
      <c r="I195" s="180"/>
      <c r="J195" s="180"/>
      <c r="K195" s="180"/>
      <c r="L195" s="180"/>
      <c r="M195" s="180"/>
      <c r="N195" s="180"/>
      <c r="O195" s="180"/>
      <c r="P195" s="180"/>
      <c r="AS195" s="180"/>
      <c r="AT195" s="180"/>
      <c r="AU195" s="180"/>
      <c r="AV195" s="180"/>
      <c r="AW195" s="180"/>
      <c r="AX195" s="180"/>
      <c r="AY195" s="180"/>
      <c r="AZ195" s="180"/>
      <c r="BA195" s="180"/>
      <c r="BB195" s="180"/>
      <c r="BC195" s="180"/>
      <c r="BD195" s="180"/>
      <c r="BE195" s="180"/>
      <c r="BF195" s="180"/>
      <c r="BG195" s="180"/>
      <c r="BH195" s="180"/>
      <c r="BI195" s="180"/>
      <c r="BJ195" s="180"/>
      <c r="BK195" s="180"/>
      <c r="BL195" s="180"/>
      <c r="BM195" s="180"/>
      <c r="BN195" s="180"/>
      <c r="BO195" s="180"/>
      <c r="BP195" s="180"/>
      <c r="BQ195" s="180"/>
      <c r="BR195" s="180"/>
      <c r="BS195" s="180"/>
      <c r="BT195" s="180"/>
      <c r="BU195" s="180"/>
      <c r="BV195" s="180"/>
      <c r="BW195" s="180"/>
      <c r="BX195" s="180"/>
      <c r="BY195" s="180"/>
      <c r="BZ195" s="180"/>
      <c r="CA195" s="180"/>
      <c r="CB195" s="180"/>
      <c r="CC195" s="180"/>
      <c r="CD195" s="180"/>
      <c r="CE195" s="180"/>
      <c r="CF195" s="180"/>
      <c r="CG195" s="180"/>
      <c r="CH195" s="180"/>
      <c r="CI195" s="180"/>
      <c r="CJ195" s="180"/>
      <c r="CK195" s="180"/>
      <c r="CL195" s="180"/>
      <c r="CM195" s="180"/>
      <c r="CN195" s="180"/>
      <c r="CO195" s="180"/>
      <c r="CP195" s="180"/>
      <c r="CQ195" s="180"/>
      <c r="CR195" s="180"/>
      <c r="CS195" s="180"/>
      <c r="CT195" s="180"/>
      <c r="CU195" s="180"/>
      <c r="CV195" s="180"/>
      <c r="CW195" s="180"/>
      <c r="CX195" s="180"/>
      <c r="CY195" s="180"/>
      <c r="CZ195" s="180"/>
    </row>
    <row r="196" spans="1:104" x14ac:dyDescent="0.45">
      <c r="A196" s="180" t="s">
        <v>14</v>
      </c>
      <c r="B196" s="73">
        <v>10</v>
      </c>
      <c r="C196" s="73"/>
      <c r="D196" s="180" t="s">
        <v>353</v>
      </c>
      <c r="E196" s="39">
        <v>43585</v>
      </c>
      <c r="F196" s="179">
        <v>0.56111111111111112</v>
      </c>
      <c r="G196" s="180">
        <v>1</v>
      </c>
      <c r="H196" s="180" t="s">
        <v>354</v>
      </c>
      <c r="I196" s="180"/>
      <c r="J196" s="180"/>
      <c r="K196" s="180"/>
      <c r="L196" s="180"/>
      <c r="M196" s="180"/>
      <c r="N196" s="180"/>
      <c r="O196" s="180"/>
      <c r="P196" s="180"/>
      <c r="AS196" s="180"/>
      <c r="AT196" s="180"/>
      <c r="AU196" s="180"/>
      <c r="AV196" s="180"/>
      <c r="AW196" s="180"/>
      <c r="AX196" s="180"/>
      <c r="AY196" s="180"/>
      <c r="AZ196" s="180"/>
      <c r="BA196" s="180"/>
      <c r="BB196" s="180"/>
      <c r="BC196" s="180"/>
      <c r="BD196" s="180"/>
      <c r="BE196" s="180"/>
      <c r="BF196" s="180"/>
      <c r="BG196" s="180"/>
      <c r="BH196" s="180"/>
      <c r="BI196" s="180"/>
      <c r="BJ196" s="180"/>
      <c r="BK196" s="180"/>
      <c r="BL196" s="180"/>
      <c r="BM196" s="180"/>
      <c r="BN196" s="180"/>
      <c r="BO196" s="180"/>
      <c r="BP196" s="180"/>
      <c r="BQ196" s="180"/>
      <c r="BR196" s="180"/>
      <c r="BS196" s="180"/>
      <c r="BT196" s="180"/>
      <c r="BU196" s="180"/>
      <c r="BV196" s="180"/>
      <c r="BW196" s="180"/>
      <c r="BX196" s="180"/>
      <c r="BY196" s="180"/>
      <c r="BZ196" s="180"/>
      <c r="CA196" s="180"/>
      <c r="CB196" s="180"/>
      <c r="CC196" s="180"/>
      <c r="CD196" s="180"/>
      <c r="CE196" s="180"/>
      <c r="CF196" s="180"/>
      <c r="CG196" s="180"/>
      <c r="CH196" s="180"/>
      <c r="CI196" s="180"/>
      <c r="CJ196" s="180"/>
      <c r="CK196" s="180"/>
      <c r="CL196" s="180"/>
      <c r="CM196" s="180"/>
      <c r="CN196" s="180"/>
      <c r="CO196" s="180"/>
      <c r="CP196" s="180"/>
      <c r="CQ196" s="180"/>
      <c r="CR196" s="180"/>
      <c r="CS196" s="180"/>
      <c r="CT196" s="180"/>
      <c r="CU196" s="180"/>
      <c r="CV196" s="180"/>
      <c r="CW196" s="180"/>
      <c r="CX196" s="180"/>
      <c r="CY196" s="180"/>
      <c r="CZ196" s="180"/>
    </row>
    <row r="197" spans="1:104" x14ac:dyDescent="0.45">
      <c r="A197" s="180" t="s">
        <v>14</v>
      </c>
      <c r="B197" s="73">
        <v>9</v>
      </c>
      <c r="C197" s="73"/>
      <c r="D197" s="180" t="s">
        <v>128</v>
      </c>
      <c r="E197" s="39">
        <v>43585</v>
      </c>
      <c r="F197" s="179">
        <v>0.54097222222222219</v>
      </c>
      <c r="G197" s="180">
        <v>1</v>
      </c>
      <c r="H197" s="180"/>
      <c r="I197" s="180"/>
      <c r="J197" s="180"/>
      <c r="K197" s="180"/>
      <c r="L197" s="180"/>
      <c r="M197" s="180"/>
      <c r="N197" s="180"/>
      <c r="O197" s="180"/>
      <c r="P197" s="180"/>
      <c r="AS197" s="180"/>
      <c r="AT197" s="180"/>
      <c r="AU197" s="180"/>
      <c r="AV197" s="180"/>
      <c r="AW197" s="180"/>
      <c r="AX197" s="180"/>
      <c r="AY197" s="180"/>
      <c r="AZ197" s="180"/>
      <c r="BA197" s="180"/>
      <c r="BB197" s="180"/>
      <c r="BC197" s="180"/>
      <c r="BD197" s="180"/>
      <c r="BE197" s="180"/>
      <c r="BF197" s="180"/>
      <c r="BG197" s="180"/>
      <c r="BH197" s="180"/>
      <c r="BI197" s="180"/>
      <c r="BJ197" s="180"/>
      <c r="BK197" s="180"/>
      <c r="BL197" s="180"/>
      <c r="BM197" s="180"/>
      <c r="BN197" s="180"/>
      <c r="BO197" s="180"/>
      <c r="BP197" s="180"/>
      <c r="BQ197" s="180"/>
      <c r="BR197" s="180"/>
      <c r="BS197" s="180"/>
      <c r="BT197" s="180"/>
      <c r="BU197" s="180"/>
      <c r="BV197" s="180"/>
      <c r="BW197" s="180"/>
      <c r="BX197" s="180"/>
      <c r="BY197" s="180"/>
      <c r="BZ197" s="180"/>
      <c r="CA197" s="180"/>
      <c r="CB197" s="180"/>
      <c r="CC197" s="180"/>
      <c r="CD197" s="180"/>
      <c r="CE197" s="180"/>
      <c r="CF197" s="180"/>
      <c r="CG197" s="180"/>
      <c r="CH197" s="180"/>
      <c r="CI197" s="180"/>
      <c r="CJ197" s="180"/>
      <c r="CK197" s="180"/>
      <c r="CL197" s="180"/>
      <c r="CM197" s="180"/>
      <c r="CN197" s="180"/>
      <c r="CO197" s="180"/>
      <c r="CP197" s="180"/>
      <c r="CQ197" s="180"/>
      <c r="CR197" s="180"/>
      <c r="CS197" s="180"/>
      <c r="CT197" s="180"/>
      <c r="CU197" s="180"/>
      <c r="CV197" s="180"/>
      <c r="CW197" s="180"/>
      <c r="CX197" s="180"/>
      <c r="CY197" s="180"/>
      <c r="CZ197" s="180"/>
    </row>
    <row r="198" spans="1:104" x14ac:dyDescent="0.45">
      <c r="A198" s="180" t="s">
        <v>14</v>
      </c>
      <c r="B198" s="73">
        <v>13</v>
      </c>
      <c r="C198" s="73">
        <v>13</v>
      </c>
      <c r="D198" s="180" t="s">
        <v>309</v>
      </c>
      <c r="E198" s="39">
        <v>43585</v>
      </c>
      <c r="F198" s="179">
        <v>0.42777777777777781</v>
      </c>
      <c r="G198" s="180">
        <v>2</v>
      </c>
      <c r="H198" s="180"/>
      <c r="I198" s="180"/>
      <c r="J198" s="180"/>
      <c r="K198" s="180"/>
      <c r="L198" s="180"/>
      <c r="M198" s="180"/>
      <c r="N198" s="180"/>
      <c r="O198" s="180"/>
      <c r="P198" s="180"/>
      <c r="AS198" s="180"/>
      <c r="AT198" s="180"/>
      <c r="AU198" s="180"/>
      <c r="AV198" s="180"/>
      <c r="AW198" s="180"/>
      <c r="AX198" s="180"/>
      <c r="AY198" s="180"/>
      <c r="AZ198" s="180"/>
      <c r="BA198" s="180"/>
      <c r="BB198" s="180"/>
      <c r="BC198" s="180"/>
      <c r="BD198" s="180"/>
      <c r="BE198" s="180"/>
      <c r="BF198" s="180"/>
      <c r="BG198" s="180"/>
      <c r="BH198" s="180"/>
      <c r="BI198" s="180"/>
      <c r="BJ198" s="180"/>
      <c r="BK198" s="180"/>
      <c r="BL198" s="180"/>
      <c r="BM198" s="180"/>
      <c r="BN198" s="180"/>
      <c r="BO198" s="180"/>
      <c r="BP198" s="180"/>
      <c r="BQ198" s="180"/>
      <c r="BR198" s="180"/>
      <c r="BS198" s="180"/>
      <c r="BT198" s="180"/>
      <c r="BU198" s="180"/>
      <c r="BV198" s="180"/>
      <c r="BW198" s="180"/>
      <c r="BX198" s="180"/>
      <c r="BY198" s="180"/>
      <c r="BZ198" s="180"/>
      <c r="CA198" s="180"/>
      <c r="CB198" s="180"/>
      <c r="CC198" s="180"/>
      <c r="CD198" s="180"/>
      <c r="CE198" s="180"/>
      <c r="CF198" s="180"/>
      <c r="CG198" s="180"/>
      <c r="CH198" s="180"/>
      <c r="CI198" s="180"/>
      <c r="CJ198" s="180"/>
      <c r="CK198" s="180"/>
      <c r="CL198" s="180"/>
      <c r="CM198" s="180"/>
      <c r="CN198" s="180"/>
      <c r="CO198" s="180"/>
      <c r="CP198" s="180"/>
      <c r="CQ198" s="180"/>
      <c r="CR198" s="180"/>
      <c r="CS198" s="180"/>
      <c r="CT198" s="180"/>
      <c r="CU198" s="180"/>
      <c r="CV198" s="180"/>
      <c r="CW198" s="180"/>
      <c r="CX198" s="180"/>
      <c r="CY198" s="180"/>
      <c r="CZ198" s="180"/>
    </row>
    <row r="199" spans="1:104" x14ac:dyDescent="0.45">
      <c r="A199" s="180" t="s">
        <v>14</v>
      </c>
      <c r="B199" s="73">
        <v>10</v>
      </c>
      <c r="C199" s="73"/>
      <c r="D199" s="180" t="s">
        <v>309</v>
      </c>
      <c r="E199" s="39">
        <v>43585</v>
      </c>
      <c r="F199" s="179">
        <v>0.59930555555555554</v>
      </c>
      <c r="G199" s="180">
        <v>2</v>
      </c>
      <c r="H199" s="180"/>
      <c r="I199" s="180"/>
      <c r="J199" s="180"/>
      <c r="K199" s="180"/>
      <c r="L199" s="180"/>
      <c r="M199" s="180"/>
      <c r="N199" s="180"/>
      <c r="O199" s="180"/>
      <c r="P199" s="180"/>
      <c r="AS199" s="180"/>
      <c r="AT199" s="180"/>
      <c r="AU199" s="180"/>
      <c r="AV199" s="180"/>
      <c r="AW199" s="180"/>
      <c r="AX199" s="180"/>
      <c r="AY199" s="180"/>
      <c r="AZ199" s="180"/>
      <c r="BA199" s="180"/>
      <c r="BB199" s="180"/>
      <c r="BC199" s="180"/>
      <c r="BD199" s="180"/>
      <c r="BE199" s="180"/>
      <c r="BF199" s="180"/>
      <c r="BG199" s="180"/>
      <c r="BH199" s="180"/>
      <c r="BI199" s="180"/>
      <c r="BJ199" s="180"/>
      <c r="BK199" s="180"/>
      <c r="BL199" s="180"/>
      <c r="BM199" s="180"/>
      <c r="BN199" s="180"/>
      <c r="BO199" s="180"/>
      <c r="BP199" s="180"/>
      <c r="BQ199" s="180"/>
      <c r="BR199" s="180"/>
      <c r="BS199" s="180"/>
      <c r="BT199" s="180"/>
      <c r="BU199" s="180"/>
      <c r="BV199" s="180"/>
      <c r="BW199" s="180"/>
      <c r="BX199" s="180"/>
      <c r="BY199" s="180"/>
      <c r="BZ199" s="180"/>
      <c r="CA199" s="180"/>
      <c r="CB199" s="180"/>
      <c r="CC199" s="180"/>
      <c r="CD199" s="180"/>
      <c r="CE199" s="180"/>
      <c r="CF199" s="180"/>
      <c r="CG199" s="180"/>
      <c r="CH199" s="180"/>
      <c r="CI199" s="180"/>
      <c r="CJ199" s="180"/>
      <c r="CK199" s="180"/>
      <c r="CL199" s="180"/>
      <c r="CM199" s="180"/>
      <c r="CN199" s="180"/>
      <c r="CO199" s="180"/>
      <c r="CP199" s="180"/>
      <c r="CQ199" s="180"/>
      <c r="CR199" s="180"/>
      <c r="CS199" s="180"/>
      <c r="CT199" s="180"/>
      <c r="CU199" s="180"/>
      <c r="CV199" s="180"/>
      <c r="CW199" s="180"/>
      <c r="CX199" s="180"/>
      <c r="CY199" s="180"/>
      <c r="CZ199" s="180"/>
    </row>
    <row r="200" spans="1:104" x14ac:dyDescent="0.45">
      <c r="A200" s="180" t="s">
        <v>14</v>
      </c>
      <c r="B200" s="73">
        <v>2</v>
      </c>
      <c r="C200" s="73"/>
      <c r="D200" s="180" t="s">
        <v>356</v>
      </c>
      <c r="E200" s="39">
        <v>43587</v>
      </c>
      <c r="F200" s="179">
        <v>0.47291666666666665</v>
      </c>
      <c r="G200" s="180">
        <v>2</v>
      </c>
      <c r="H200" s="180"/>
      <c r="I200" s="180"/>
      <c r="J200" s="180"/>
      <c r="K200" s="180"/>
      <c r="L200" s="180"/>
      <c r="M200" s="180"/>
      <c r="N200" s="180"/>
      <c r="O200" s="180"/>
      <c r="P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0"/>
      <c r="CX200" s="180"/>
      <c r="CY200" s="180"/>
      <c r="CZ200" s="180"/>
    </row>
    <row r="201" spans="1:104" x14ac:dyDescent="0.45">
      <c r="A201" s="180" t="s">
        <v>14</v>
      </c>
      <c r="B201" s="73">
        <v>2</v>
      </c>
      <c r="C201" s="73">
        <v>2</v>
      </c>
      <c r="D201" s="180" t="s">
        <v>128</v>
      </c>
      <c r="E201" s="39">
        <v>43587</v>
      </c>
      <c r="F201" s="179">
        <v>0.5444444444444444</v>
      </c>
      <c r="G201" s="180">
        <v>1</v>
      </c>
      <c r="H201" s="180" t="s">
        <v>34</v>
      </c>
      <c r="I201" s="180"/>
      <c r="J201" s="180"/>
      <c r="K201" s="180"/>
      <c r="L201" s="180"/>
      <c r="M201" s="180"/>
      <c r="N201" s="180"/>
      <c r="O201" s="180"/>
      <c r="P201" s="180"/>
      <c r="AS201" s="180"/>
      <c r="AT201" s="180"/>
      <c r="AU201" s="180"/>
      <c r="AV201" s="180"/>
      <c r="AW201" s="180"/>
      <c r="AX201" s="180"/>
      <c r="AY201" s="180"/>
      <c r="AZ201" s="180"/>
      <c r="BA201" s="180"/>
      <c r="BB201" s="180"/>
      <c r="BC201" s="180"/>
      <c r="BD201" s="180"/>
      <c r="BE201" s="180"/>
      <c r="BF201" s="180"/>
      <c r="BG201" s="180"/>
      <c r="BH201" s="180"/>
      <c r="BI201" s="180"/>
      <c r="BJ201" s="180"/>
      <c r="BK201" s="180"/>
      <c r="BL201" s="180"/>
      <c r="BM201" s="180"/>
      <c r="BN201" s="180"/>
      <c r="BO201" s="180"/>
      <c r="BP201" s="180"/>
      <c r="BQ201" s="180"/>
      <c r="BR201" s="180"/>
      <c r="BS201" s="180"/>
      <c r="BT201" s="180"/>
      <c r="BU201" s="180"/>
      <c r="BV201" s="180"/>
      <c r="BW201" s="180"/>
      <c r="BX201" s="180"/>
      <c r="BY201" s="180"/>
      <c r="BZ201" s="180"/>
      <c r="CA201" s="180"/>
      <c r="CB201" s="180"/>
      <c r="CC201" s="180"/>
      <c r="CD201" s="180"/>
      <c r="CE201" s="180"/>
      <c r="CF201" s="180"/>
      <c r="CG201" s="180"/>
      <c r="CH201" s="180"/>
      <c r="CI201" s="180"/>
      <c r="CJ201" s="180"/>
      <c r="CK201" s="180"/>
      <c r="CL201" s="180"/>
      <c r="CM201" s="180"/>
      <c r="CN201" s="180"/>
      <c r="CO201" s="180"/>
      <c r="CP201" s="180"/>
      <c r="CQ201" s="180"/>
      <c r="CR201" s="180"/>
      <c r="CS201" s="180"/>
      <c r="CT201" s="180"/>
      <c r="CU201" s="180"/>
      <c r="CV201" s="180"/>
      <c r="CW201" s="180"/>
      <c r="CX201" s="180"/>
      <c r="CY201" s="180"/>
      <c r="CZ201" s="180"/>
    </row>
    <row r="202" spans="1:104" x14ac:dyDescent="0.45">
      <c r="A202" s="180" t="s">
        <v>14</v>
      </c>
      <c r="B202" s="73">
        <v>1</v>
      </c>
      <c r="C202" s="73"/>
      <c r="D202" s="180" t="s">
        <v>128</v>
      </c>
      <c r="E202" s="39">
        <v>43588</v>
      </c>
      <c r="F202" s="179">
        <v>0.50069444444444444</v>
      </c>
      <c r="G202" s="180">
        <v>3</v>
      </c>
      <c r="H202" s="180"/>
      <c r="I202" s="180"/>
      <c r="J202" s="180"/>
      <c r="K202" s="180"/>
      <c r="L202" s="180"/>
      <c r="M202" s="180"/>
      <c r="N202" s="180"/>
      <c r="O202" s="180"/>
      <c r="P202" s="180"/>
      <c r="AS202" s="180"/>
      <c r="AT202" s="180"/>
      <c r="AU202" s="180"/>
      <c r="AV202" s="180"/>
      <c r="AW202" s="180"/>
      <c r="AX202" s="180"/>
      <c r="AY202" s="180"/>
      <c r="AZ202" s="180"/>
      <c r="BA202" s="180"/>
      <c r="BB202" s="180"/>
      <c r="BC202" s="180"/>
      <c r="BD202" s="180"/>
      <c r="BE202" s="180"/>
      <c r="BF202" s="180"/>
      <c r="BG202" s="180"/>
      <c r="BH202" s="180"/>
      <c r="BI202" s="180"/>
      <c r="BJ202" s="180"/>
      <c r="BK202" s="180"/>
      <c r="BL202" s="180"/>
      <c r="BM202" s="180"/>
      <c r="BN202" s="180"/>
      <c r="BO202" s="180"/>
      <c r="BP202" s="180"/>
      <c r="BQ202" s="180"/>
      <c r="BR202" s="180"/>
      <c r="BS202" s="180"/>
      <c r="BT202" s="180"/>
      <c r="BU202" s="180"/>
      <c r="BV202" s="180"/>
      <c r="BW202" s="180"/>
      <c r="BX202" s="180"/>
      <c r="BY202" s="180"/>
      <c r="BZ202" s="180"/>
      <c r="CA202" s="180"/>
      <c r="CB202" s="180"/>
      <c r="CC202" s="180"/>
      <c r="CD202" s="180"/>
      <c r="CE202" s="180"/>
      <c r="CF202" s="180"/>
      <c r="CG202" s="180"/>
      <c r="CH202" s="180"/>
      <c r="CI202" s="180"/>
      <c r="CJ202" s="180"/>
      <c r="CK202" s="180"/>
      <c r="CL202" s="180"/>
      <c r="CM202" s="180"/>
      <c r="CN202" s="180"/>
      <c r="CO202" s="180"/>
      <c r="CP202" s="180"/>
      <c r="CQ202" s="180"/>
      <c r="CR202" s="180"/>
      <c r="CS202" s="180"/>
      <c r="CT202" s="180"/>
      <c r="CU202" s="180"/>
      <c r="CV202" s="180"/>
      <c r="CW202" s="180"/>
      <c r="CX202" s="180"/>
      <c r="CY202" s="180"/>
      <c r="CZ202" s="180"/>
    </row>
    <row r="203" spans="1:104" x14ac:dyDescent="0.45">
      <c r="A203" s="180" t="s">
        <v>14</v>
      </c>
      <c r="B203" s="73">
        <v>80</v>
      </c>
      <c r="C203" s="73"/>
      <c r="D203" s="180" t="s">
        <v>128</v>
      </c>
      <c r="E203" s="39">
        <v>43588</v>
      </c>
      <c r="F203" s="179">
        <v>0.68125000000000002</v>
      </c>
      <c r="G203" s="180">
        <v>4</v>
      </c>
      <c r="H203" s="180" t="s">
        <v>310</v>
      </c>
      <c r="I203" s="180"/>
      <c r="J203" s="180"/>
      <c r="K203" s="180"/>
      <c r="L203" s="180"/>
      <c r="M203" s="180"/>
      <c r="N203" s="180"/>
      <c r="O203" s="180"/>
      <c r="P203" s="180"/>
      <c r="AS203" s="180"/>
      <c r="AT203" s="180"/>
      <c r="AU203" s="180"/>
      <c r="AV203" s="180"/>
      <c r="AW203" s="180"/>
      <c r="AX203" s="180"/>
      <c r="AY203" s="180"/>
      <c r="AZ203" s="180"/>
      <c r="BA203" s="180"/>
      <c r="BB203" s="180"/>
      <c r="BC203" s="180"/>
      <c r="BD203" s="180"/>
      <c r="BE203" s="180"/>
      <c r="BF203" s="180"/>
      <c r="BG203" s="180"/>
      <c r="BH203" s="180"/>
      <c r="BI203" s="180"/>
      <c r="BJ203" s="180"/>
      <c r="BK203" s="180"/>
      <c r="BL203" s="180"/>
      <c r="BM203" s="180"/>
      <c r="BN203" s="180"/>
      <c r="BO203" s="180"/>
      <c r="BP203" s="180"/>
      <c r="BQ203" s="180"/>
      <c r="BR203" s="180"/>
      <c r="BS203" s="180"/>
      <c r="BT203" s="180"/>
      <c r="BU203" s="180"/>
      <c r="BV203" s="180"/>
      <c r="BW203" s="180"/>
      <c r="BX203" s="180"/>
      <c r="BY203" s="180"/>
      <c r="BZ203" s="180"/>
      <c r="CA203" s="180"/>
      <c r="CB203" s="180"/>
      <c r="CC203" s="180"/>
      <c r="CD203" s="180"/>
      <c r="CE203" s="180"/>
      <c r="CF203" s="180"/>
      <c r="CG203" s="180"/>
      <c r="CH203" s="180"/>
      <c r="CI203" s="180"/>
      <c r="CJ203" s="180"/>
      <c r="CK203" s="180"/>
      <c r="CL203" s="180"/>
      <c r="CM203" s="180"/>
      <c r="CN203" s="180"/>
      <c r="CO203" s="180"/>
      <c r="CP203" s="180"/>
      <c r="CQ203" s="180"/>
      <c r="CR203" s="180"/>
      <c r="CS203" s="180"/>
      <c r="CT203" s="180"/>
      <c r="CU203" s="180"/>
      <c r="CV203" s="180"/>
      <c r="CW203" s="180"/>
      <c r="CX203" s="180"/>
      <c r="CY203" s="180"/>
      <c r="CZ203" s="180"/>
    </row>
    <row r="204" spans="1:104" x14ac:dyDescent="0.45">
      <c r="A204" s="180" t="s">
        <v>14</v>
      </c>
      <c r="B204" s="73">
        <v>1</v>
      </c>
      <c r="C204" s="73"/>
      <c r="D204" s="180" t="s">
        <v>128</v>
      </c>
      <c r="E204" s="39">
        <v>43588</v>
      </c>
      <c r="F204" s="179">
        <v>0.50069444444444444</v>
      </c>
      <c r="G204" s="180">
        <v>3</v>
      </c>
      <c r="H204" s="180"/>
      <c r="I204" s="180"/>
      <c r="J204" s="180"/>
      <c r="K204" s="180"/>
      <c r="L204" s="180"/>
      <c r="M204" s="180"/>
      <c r="N204" s="180"/>
      <c r="O204" s="180"/>
      <c r="P204" s="180"/>
      <c r="AS204" s="180"/>
      <c r="AT204" s="180"/>
      <c r="AU204" s="180"/>
      <c r="AV204" s="180"/>
      <c r="AW204" s="180"/>
      <c r="AX204" s="180"/>
      <c r="AY204" s="180"/>
      <c r="AZ204" s="180"/>
      <c r="BA204" s="180"/>
      <c r="BB204" s="180"/>
      <c r="BC204" s="180"/>
      <c r="BD204" s="180"/>
      <c r="BE204" s="180"/>
      <c r="BF204" s="180"/>
      <c r="BG204" s="180"/>
      <c r="BH204" s="180"/>
      <c r="BI204" s="180"/>
      <c r="BJ204" s="180"/>
      <c r="BK204" s="180"/>
      <c r="BL204" s="180"/>
      <c r="BM204" s="180"/>
      <c r="BN204" s="180"/>
      <c r="BO204" s="180"/>
      <c r="BP204" s="180"/>
      <c r="BQ204" s="180"/>
      <c r="BR204" s="180"/>
      <c r="BS204" s="180"/>
      <c r="BT204" s="180"/>
      <c r="BU204" s="180"/>
      <c r="BV204" s="180"/>
      <c r="BW204" s="180"/>
      <c r="BX204" s="180"/>
      <c r="BY204" s="180"/>
      <c r="BZ204" s="180"/>
      <c r="CA204" s="180"/>
      <c r="CB204" s="180"/>
      <c r="CC204" s="180"/>
      <c r="CD204" s="180"/>
      <c r="CE204" s="180"/>
      <c r="CF204" s="180"/>
      <c r="CG204" s="180"/>
      <c r="CH204" s="180"/>
      <c r="CI204" s="180"/>
      <c r="CJ204" s="180"/>
      <c r="CK204" s="180"/>
      <c r="CL204" s="180"/>
      <c r="CM204" s="180"/>
      <c r="CN204" s="180"/>
      <c r="CO204" s="180"/>
      <c r="CP204" s="180"/>
      <c r="CQ204" s="180"/>
      <c r="CR204" s="180"/>
      <c r="CS204" s="180"/>
      <c r="CT204" s="180"/>
      <c r="CU204" s="180"/>
      <c r="CV204" s="180"/>
      <c r="CW204" s="180"/>
      <c r="CX204" s="180"/>
      <c r="CY204" s="180"/>
      <c r="CZ204" s="180"/>
    </row>
    <row r="205" spans="1:104" x14ac:dyDescent="0.45">
      <c r="A205" s="180" t="s">
        <v>14</v>
      </c>
      <c r="B205" s="73">
        <v>1</v>
      </c>
      <c r="C205" s="73"/>
      <c r="D205" s="180" t="s">
        <v>128</v>
      </c>
      <c r="E205" s="39">
        <v>43588</v>
      </c>
      <c r="F205" s="179">
        <v>0.50069444444444444</v>
      </c>
      <c r="G205" s="180">
        <v>3</v>
      </c>
      <c r="H205" s="180"/>
      <c r="I205" s="180"/>
      <c r="J205" s="180"/>
      <c r="K205" s="180"/>
      <c r="L205" s="180"/>
      <c r="M205" s="180"/>
      <c r="N205" s="180"/>
      <c r="O205" s="180"/>
      <c r="P205" s="180"/>
      <c r="AS205" s="180"/>
      <c r="AT205" s="180"/>
      <c r="AU205" s="180"/>
      <c r="AV205" s="180"/>
      <c r="AW205" s="180"/>
      <c r="AX205" s="180"/>
      <c r="AY205" s="180"/>
      <c r="AZ205" s="180"/>
      <c r="BA205" s="180"/>
      <c r="BB205" s="180"/>
      <c r="BC205" s="180"/>
      <c r="BD205" s="180"/>
      <c r="BE205" s="180"/>
      <c r="BF205" s="180"/>
      <c r="BG205" s="180"/>
      <c r="BH205" s="180"/>
      <c r="BI205" s="180"/>
      <c r="BJ205" s="180"/>
      <c r="BK205" s="180"/>
      <c r="BL205" s="180"/>
      <c r="BM205" s="180"/>
      <c r="BN205" s="180"/>
      <c r="BO205" s="180"/>
      <c r="BP205" s="180"/>
      <c r="BQ205" s="180"/>
      <c r="BR205" s="180"/>
      <c r="BS205" s="180"/>
      <c r="BT205" s="180"/>
      <c r="BU205" s="180"/>
      <c r="BV205" s="180"/>
      <c r="BW205" s="180"/>
      <c r="BX205" s="180"/>
      <c r="BY205" s="180"/>
      <c r="BZ205" s="180"/>
      <c r="CA205" s="180"/>
      <c r="CB205" s="180"/>
      <c r="CC205" s="180"/>
      <c r="CD205" s="180"/>
      <c r="CE205" s="180"/>
      <c r="CF205" s="180"/>
      <c r="CG205" s="180"/>
      <c r="CH205" s="180"/>
      <c r="CI205" s="180"/>
      <c r="CJ205" s="180"/>
      <c r="CK205" s="180"/>
      <c r="CL205" s="180"/>
      <c r="CM205" s="180"/>
      <c r="CN205" s="180"/>
      <c r="CO205" s="180"/>
      <c r="CP205" s="180"/>
      <c r="CQ205" s="180"/>
      <c r="CR205" s="180"/>
      <c r="CS205" s="180"/>
      <c r="CT205" s="180"/>
      <c r="CU205" s="180"/>
      <c r="CV205" s="180"/>
      <c r="CW205" s="180"/>
      <c r="CX205" s="180"/>
      <c r="CY205" s="180"/>
      <c r="CZ205" s="180"/>
    </row>
    <row r="206" spans="1:104" x14ac:dyDescent="0.45">
      <c r="A206" s="180" t="s">
        <v>14</v>
      </c>
      <c r="B206" s="73">
        <v>130</v>
      </c>
      <c r="C206" s="73">
        <v>130</v>
      </c>
      <c r="D206" s="180" t="s">
        <v>311</v>
      </c>
      <c r="E206" s="39">
        <v>43588</v>
      </c>
      <c r="F206" s="179">
        <v>0.67708333333333337</v>
      </c>
      <c r="G206" s="180">
        <v>9</v>
      </c>
      <c r="H206" s="180" t="s">
        <v>312</v>
      </c>
      <c r="I206" s="180"/>
      <c r="J206" s="180"/>
      <c r="K206" s="180"/>
      <c r="L206" s="180"/>
      <c r="M206" s="180"/>
      <c r="N206" s="180"/>
      <c r="O206" s="180"/>
      <c r="P206" s="180"/>
      <c r="AS206" s="180"/>
      <c r="AT206" s="180"/>
      <c r="AU206" s="180"/>
      <c r="AV206" s="180"/>
      <c r="AW206" s="180"/>
      <c r="AX206" s="180"/>
      <c r="AY206" s="180"/>
      <c r="AZ206" s="180"/>
      <c r="BA206" s="180"/>
      <c r="BB206" s="180"/>
      <c r="BC206" s="180"/>
      <c r="BD206" s="180"/>
      <c r="BE206" s="180"/>
      <c r="BF206" s="180"/>
      <c r="BG206" s="180"/>
      <c r="BH206" s="180"/>
      <c r="BI206" s="180"/>
      <c r="BJ206" s="180"/>
      <c r="BK206" s="180"/>
      <c r="BL206" s="180"/>
      <c r="BM206" s="180"/>
      <c r="BN206" s="180"/>
      <c r="BO206" s="180"/>
      <c r="BP206" s="180"/>
      <c r="BQ206" s="180"/>
      <c r="BR206" s="180"/>
      <c r="BS206" s="180"/>
      <c r="BT206" s="180"/>
      <c r="BU206" s="180"/>
      <c r="BV206" s="180"/>
      <c r="BW206" s="180"/>
      <c r="BX206" s="180"/>
      <c r="BY206" s="180"/>
      <c r="BZ206" s="180"/>
      <c r="CA206" s="180"/>
      <c r="CB206" s="180"/>
      <c r="CC206" s="180"/>
      <c r="CD206" s="180"/>
      <c r="CE206" s="180"/>
      <c r="CF206" s="180"/>
      <c r="CG206" s="180"/>
      <c r="CH206" s="180"/>
      <c r="CI206" s="180"/>
      <c r="CJ206" s="180"/>
      <c r="CK206" s="180"/>
      <c r="CL206" s="180"/>
      <c r="CM206" s="180"/>
      <c r="CN206" s="180"/>
      <c r="CO206" s="180"/>
      <c r="CP206" s="180"/>
      <c r="CQ206" s="180"/>
      <c r="CR206" s="180"/>
      <c r="CS206" s="180"/>
      <c r="CT206" s="180"/>
      <c r="CU206" s="180"/>
      <c r="CV206" s="180"/>
      <c r="CW206" s="180"/>
      <c r="CX206" s="180"/>
      <c r="CY206" s="180"/>
      <c r="CZ206" s="180"/>
    </row>
    <row r="207" spans="1:104" x14ac:dyDescent="0.45">
      <c r="A207" s="180" t="s">
        <v>14</v>
      </c>
      <c r="B207" s="73">
        <v>70</v>
      </c>
      <c r="C207" s="73"/>
      <c r="D207" s="180" t="s">
        <v>309</v>
      </c>
      <c r="E207" s="39">
        <v>43588</v>
      </c>
      <c r="F207" s="179">
        <v>0.71527777777777779</v>
      </c>
      <c r="G207" s="180">
        <v>1</v>
      </c>
      <c r="H207" s="180"/>
      <c r="I207" s="180"/>
      <c r="J207" s="180"/>
      <c r="K207" s="180"/>
      <c r="L207" s="180"/>
      <c r="M207" s="180"/>
      <c r="N207" s="180"/>
      <c r="O207" s="180"/>
      <c r="P207" s="180"/>
      <c r="AS207" s="180"/>
      <c r="AT207" s="180"/>
      <c r="AU207" s="180"/>
      <c r="AV207" s="180"/>
      <c r="AW207" s="180"/>
      <c r="AX207" s="180"/>
      <c r="AY207" s="180"/>
      <c r="AZ207" s="180"/>
      <c r="BA207" s="180"/>
      <c r="BB207" s="180"/>
      <c r="BC207" s="180"/>
      <c r="BD207" s="180"/>
      <c r="BE207" s="180"/>
      <c r="BF207" s="180"/>
      <c r="BG207" s="180"/>
      <c r="BH207" s="180"/>
      <c r="BI207" s="180"/>
      <c r="BJ207" s="180"/>
      <c r="BK207" s="180"/>
      <c r="BL207" s="180"/>
      <c r="BM207" s="180"/>
      <c r="BN207" s="180"/>
      <c r="BO207" s="180"/>
      <c r="BP207" s="180"/>
      <c r="BQ207" s="180"/>
      <c r="BR207" s="180"/>
      <c r="BS207" s="180"/>
      <c r="BT207" s="180"/>
      <c r="BU207" s="180"/>
      <c r="BV207" s="180"/>
      <c r="BW207" s="180"/>
      <c r="BX207" s="180"/>
      <c r="BY207" s="180"/>
      <c r="BZ207" s="180"/>
      <c r="CA207" s="180"/>
      <c r="CB207" s="180"/>
      <c r="CC207" s="180"/>
      <c r="CD207" s="180"/>
      <c r="CE207" s="180"/>
      <c r="CF207" s="180"/>
      <c r="CG207" s="180"/>
      <c r="CH207" s="180"/>
      <c r="CI207" s="180"/>
      <c r="CJ207" s="180"/>
      <c r="CK207" s="180"/>
      <c r="CL207" s="180"/>
      <c r="CM207" s="180"/>
      <c r="CN207" s="180"/>
      <c r="CO207" s="180"/>
      <c r="CP207" s="180"/>
      <c r="CQ207" s="180"/>
      <c r="CR207" s="180"/>
      <c r="CS207" s="180"/>
      <c r="CT207" s="180"/>
      <c r="CU207" s="180"/>
      <c r="CV207" s="180"/>
      <c r="CW207" s="180"/>
      <c r="CX207" s="180"/>
      <c r="CY207" s="180"/>
      <c r="CZ207" s="180"/>
    </row>
    <row r="208" spans="1:104" x14ac:dyDescent="0.45">
      <c r="A208" s="180" t="s">
        <v>14</v>
      </c>
      <c r="B208" s="73">
        <v>76</v>
      </c>
      <c r="C208" s="73">
        <v>76</v>
      </c>
      <c r="D208" s="180" t="s">
        <v>309</v>
      </c>
      <c r="E208" s="39">
        <v>43588</v>
      </c>
      <c r="F208" s="179">
        <v>0.67708333333333337</v>
      </c>
      <c r="G208" s="180">
        <v>3</v>
      </c>
      <c r="H208" s="180" t="s">
        <v>312</v>
      </c>
      <c r="I208" s="180"/>
      <c r="J208" s="180"/>
      <c r="K208" s="180"/>
      <c r="L208" s="180"/>
      <c r="M208" s="180"/>
      <c r="N208" s="180"/>
      <c r="O208" s="180"/>
      <c r="P208" s="180"/>
      <c r="AS208" s="180"/>
      <c r="AT208" s="180"/>
      <c r="AU208" s="180"/>
      <c r="AV208" s="180"/>
      <c r="AW208" s="180"/>
      <c r="AX208" s="180"/>
      <c r="AY208" s="180"/>
      <c r="AZ208" s="180"/>
      <c r="BA208" s="180"/>
      <c r="BB208" s="180"/>
      <c r="BC208" s="180"/>
      <c r="BD208" s="180"/>
      <c r="BE208" s="180"/>
      <c r="BF208" s="180"/>
      <c r="BG208" s="180"/>
      <c r="BH208" s="180"/>
      <c r="BI208" s="180"/>
      <c r="BJ208" s="180"/>
      <c r="BK208" s="180"/>
      <c r="BL208" s="180"/>
      <c r="BM208" s="180"/>
      <c r="BN208" s="180"/>
      <c r="BO208" s="180"/>
      <c r="BP208" s="180"/>
      <c r="BQ208" s="180"/>
      <c r="BR208" s="180"/>
      <c r="BS208" s="180"/>
      <c r="BT208" s="180"/>
      <c r="BU208" s="180"/>
      <c r="BV208" s="180"/>
      <c r="BW208" s="180"/>
      <c r="BX208" s="180"/>
      <c r="BY208" s="180"/>
      <c r="BZ208" s="180"/>
      <c r="CA208" s="180"/>
      <c r="CB208" s="180"/>
      <c r="CC208" s="180"/>
      <c r="CD208" s="180"/>
      <c r="CE208" s="180"/>
      <c r="CF208" s="180"/>
      <c r="CG208" s="180"/>
      <c r="CH208" s="180"/>
      <c r="CI208" s="180"/>
      <c r="CJ208" s="180"/>
      <c r="CK208" s="180"/>
      <c r="CL208" s="180"/>
      <c r="CM208" s="180"/>
      <c r="CN208" s="180"/>
      <c r="CO208" s="180"/>
      <c r="CP208" s="180"/>
      <c r="CQ208" s="180"/>
      <c r="CR208" s="180"/>
      <c r="CS208" s="180"/>
      <c r="CT208" s="180"/>
      <c r="CU208" s="180"/>
      <c r="CV208" s="180"/>
      <c r="CW208" s="180"/>
      <c r="CX208" s="180"/>
      <c r="CY208" s="180"/>
      <c r="CZ208" s="180"/>
    </row>
    <row r="209" spans="1:104" x14ac:dyDescent="0.45">
      <c r="A209" s="180" t="s">
        <v>14</v>
      </c>
      <c r="B209" s="73">
        <v>10</v>
      </c>
      <c r="C209" s="73">
        <v>10</v>
      </c>
      <c r="D209" s="180" t="s">
        <v>371</v>
      </c>
      <c r="E209" s="39">
        <v>43589</v>
      </c>
      <c r="F209" s="179">
        <v>0.58333333333333337</v>
      </c>
      <c r="G209" s="180">
        <v>2</v>
      </c>
      <c r="H209" s="180"/>
      <c r="I209" s="180" t="s">
        <v>34</v>
      </c>
      <c r="J209" s="180"/>
      <c r="K209" s="180"/>
      <c r="L209" s="180"/>
      <c r="M209" s="180"/>
      <c r="N209" s="180"/>
      <c r="O209" s="180"/>
      <c r="P209" s="180"/>
      <c r="AS209" s="180"/>
      <c r="AT209" s="180"/>
      <c r="AU209" s="180"/>
      <c r="AV209" s="180"/>
      <c r="AW209" s="180"/>
      <c r="AX209" s="180"/>
      <c r="AY209" s="180"/>
      <c r="AZ209" s="180"/>
      <c r="BA209" s="180"/>
      <c r="BB209" s="180"/>
      <c r="BC209" s="180"/>
      <c r="BD209" s="180"/>
      <c r="BE209" s="180"/>
      <c r="BF209" s="180"/>
      <c r="BG209" s="180"/>
      <c r="BH209" s="180"/>
      <c r="BI209" s="180"/>
      <c r="BJ209" s="180"/>
      <c r="BK209" s="180"/>
      <c r="BL209" s="180"/>
      <c r="BM209" s="180"/>
      <c r="BN209" s="180"/>
      <c r="BO209" s="180"/>
      <c r="BP209" s="180"/>
      <c r="BQ209" s="180"/>
      <c r="BR209" s="180"/>
      <c r="BS209" s="180"/>
      <c r="BT209" s="180"/>
      <c r="BU209" s="180"/>
      <c r="BV209" s="180"/>
      <c r="BW209" s="180"/>
      <c r="BX209" s="180"/>
      <c r="BY209" s="180"/>
      <c r="BZ209" s="180"/>
      <c r="CA209" s="180"/>
      <c r="CB209" s="180"/>
      <c r="CC209" s="180"/>
      <c r="CD209" s="180"/>
      <c r="CE209" s="180"/>
      <c r="CF209" s="180"/>
      <c r="CG209" s="180"/>
      <c r="CH209" s="180"/>
      <c r="CI209" s="180"/>
      <c r="CJ209" s="180"/>
      <c r="CK209" s="180"/>
      <c r="CL209" s="180"/>
      <c r="CM209" s="180"/>
      <c r="CN209" s="180"/>
      <c r="CO209" s="180"/>
      <c r="CP209" s="180"/>
      <c r="CQ209" s="180"/>
      <c r="CR209" s="180"/>
      <c r="CS209" s="180"/>
      <c r="CT209" s="180"/>
      <c r="CU209" s="180"/>
      <c r="CV209" s="180"/>
      <c r="CW209" s="180"/>
      <c r="CX209" s="180"/>
      <c r="CY209" s="180"/>
      <c r="CZ209" s="180"/>
    </row>
    <row r="210" spans="1:104" x14ac:dyDescent="0.45">
      <c r="A210" s="180" t="s">
        <v>14</v>
      </c>
      <c r="B210" s="73">
        <v>3</v>
      </c>
      <c r="C210" s="73">
        <v>3</v>
      </c>
      <c r="D210" s="180" t="s">
        <v>317</v>
      </c>
      <c r="E210" s="39">
        <v>43589</v>
      </c>
      <c r="F210" s="179">
        <v>0.6333333333333333</v>
      </c>
      <c r="G210" s="180">
        <v>1</v>
      </c>
      <c r="H210" s="180"/>
      <c r="I210" s="180"/>
      <c r="J210" s="180"/>
      <c r="K210" s="180"/>
      <c r="L210" s="180"/>
      <c r="M210" s="180"/>
      <c r="N210" s="180"/>
      <c r="O210" s="180"/>
      <c r="P210" s="180"/>
      <c r="AS210" s="180"/>
      <c r="AT210" s="180"/>
      <c r="AU210" s="180"/>
      <c r="AV210" s="180"/>
      <c r="AW210" s="180"/>
      <c r="AX210" s="180"/>
      <c r="AY210" s="180"/>
      <c r="AZ210" s="180"/>
      <c r="BA210" s="180"/>
      <c r="BB210" s="180"/>
      <c r="BC210" s="180"/>
      <c r="BD210" s="180"/>
      <c r="BE210" s="180"/>
      <c r="BF210" s="180"/>
      <c r="BG210" s="180"/>
      <c r="BH210" s="180"/>
      <c r="BI210" s="180"/>
      <c r="BJ210" s="180"/>
      <c r="BK210" s="180"/>
      <c r="BL210" s="180"/>
      <c r="BM210" s="180"/>
      <c r="BN210" s="180"/>
      <c r="BO210" s="180"/>
      <c r="BP210" s="180"/>
      <c r="BQ210" s="180"/>
      <c r="BR210" s="180"/>
      <c r="BS210" s="180"/>
      <c r="BT210" s="180"/>
      <c r="BU210" s="180"/>
      <c r="BV210" s="180"/>
      <c r="BW210" s="180"/>
      <c r="BX210" s="180"/>
      <c r="BY210" s="180"/>
      <c r="BZ210" s="180"/>
      <c r="CA210" s="180"/>
      <c r="CB210" s="180"/>
      <c r="CC210" s="180"/>
      <c r="CD210" s="180"/>
      <c r="CE210" s="180"/>
      <c r="CF210" s="180"/>
      <c r="CG210" s="180"/>
      <c r="CH210" s="180"/>
      <c r="CI210" s="180"/>
      <c r="CJ210" s="180"/>
      <c r="CK210" s="180"/>
      <c r="CL210" s="180"/>
      <c r="CM210" s="180"/>
      <c r="CN210" s="180"/>
      <c r="CO210" s="180"/>
      <c r="CP210" s="180"/>
      <c r="CQ210" s="180"/>
      <c r="CR210" s="180"/>
      <c r="CS210" s="180"/>
      <c r="CT210" s="180"/>
      <c r="CU210" s="180"/>
      <c r="CV210" s="180"/>
      <c r="CW210" s="180"/>
      <c r="CX210" s="180"/>
      <c r="CY210" s="180"/>
      <c r="CZ210" s="180"/>
    </row>
    <row r="211" spans="1:104" x14ac:dyDescent="0.45">
      <c r="A211" s="180" t="s">
        <v>14</v>
      </c>
      <c r="B211" s="73">
        <v>12</v>
      </c>
      <c r="C211" s="73">
        <v>12</v>
      </c>
      <c r="D211" s="180" t="s">
        <v>309</v>
      </c>
      <c r="E211" s="39">
        <v>43589</v>
      </c>
      <c r="F211" s="179">
        <v>0.70694444444444438</v>
      </c>
      <c r="G211" s="180">
        <v>2</v>
      </c>
      <c r="H211" s="180"/>
      <c r="I211" s="180"/>
      <c r="J211" s="180"/>
      <c r="K211" s="180"/>
      <c r="L211" s="180"/>
      <c r="M211" s="180"/>
      <c r="N211" s="180"/>
      <c r="O211" s="180"/>
      <c r="P211" s="180"/>
      <c r="AS211" s="180"/>
      <c r="AT211" s="180"/>
      <c r="AU211" s="180"/>
      <c r="AV211" s="180"/>
      <c r="AW211" s="180"/>
      <c r="AX211" s="180"/>
      <c r="AY211" s="180"/>
      <c r="AZ211" s="180"/>
      <c r="BA211" s="180"/>
      <c r="BB211" s="180"/>
      <c r="BC211" s="180"/>
      <c r="BD211" s="180"/>
      <c r="BE211" s="180"/>
      <c r="BF211" s="180"/>
      <c r="BG211" s="180"/>
      <c r="BH211" s="180"/>
      <c r="BI211" s="180"/>
      <c r="BJ211" s="180"/>
      <c r="BK211" s="180"/>
      <c r="BL211" s="180"/>
      <c r="BM211" s="180"/>
      <c r="BN211" s="180"/>
      <c r="BO211" s="180"/>
      <c r="BP211" s="180"/>
      <c r="BQ211" s="180"/>
      <c r="BR211" s="180"/>
      <c r="BS211" s="180"/>
      <c r="BT211" s="180"/>
      <c r="BU211" s="180"/>
      <c r="BV211" s="180"/>
      <c r="BW211" s="180"/>
      <c r="BX211" s="180"/>
      <c r="BY211" s="180"/>
      <c r="BZ211" s="180"/>
      <c r="CA211" s="180"/>
      <c r="CB211" s="180"/>
      <c r="CC211" s="180"/>
      <c r="CD211" s="180"/>
      <c r="CE211" s="180"/>
      <c r="CF211" s="180"/>
      <c r="CG211" s="180"/>
      <c r="CH211" s="180"/>
      <c r="CI211" s="180"/>
      <c r="CJ211" s="180"/>
      <c r="CK211" s="180"/>
      <c r="CL211" s="180"/>
      <c r="CM211" s="180"/>
      <c r="CN211" s="180"/>
      <c r="CO211" s="180"/>
      <c r="CP211" s="180"/>
      <c r="CQ211" s="180"/>
      <c r="CR211" s="180"/>
      <c r="CS211" s="180"/>
      <c r="CT211" s="180"/>
      <c r="CU211" s="180"/>
      <c r="CV211" s="180"/>
      <c r="CW211" s="180"/>
      <c r="CX211" s="180"/>
      <c r="CY211" s="180"/>
      <c r="CZ211" s="180"/>
    </row>
    <row r="212" spans="1:104" x14ac:dyDescent="0.45">
      <c r="A212" s="180" t="s">
        <v>14</v>
      </c>
      <c r="B212" s="73">
        <v>8</v>
      </c>
      <c r="C212" s="73"/>
      <c r="D212" s="180" t="s">
        <v>372</v>
      </c>
      <c r="E212" s="39">
        <v>43589</v>
      </c>
      <c r="F212" s="179">
        <v>0.71388888888888891</v>
      </c>
      <c r="G212" s="180">
        <v>1</v>
      </c>
      <c r="H212" s="180"/>
      <c r="I212" s="180"/>
      <c r="J212" s="180"/>
      <c r="K212" s="180"/>
      <c r="L212" s="180"/>
      <c r="M212" s="180"/>
      <c r="N212" s="180"/>
      <c r="O212" s="180"/>
      <c r="P212" s="180"/>
      <c r="AS212" s="180"/>
      <c r="AT212" s="180"/>
      <c r="AU212" s="180"/>
      <c r="AV212" s="180"/>
      <c r="AW212" s="180"/>
      <c r="AX212" s="180"/>
      <c r="AY212" s="180"/>
      <c r="AZ212" s="180"/>
      <c r="BA212" s="180"/>
      <c r="BB212" s="180"/>
      <c r="BC212" s="180"/>
      <c r="BD212" s="180"/>
      <c r="BE212" s="180"/>
      <c r="BF212" s="180"/>
      <c r="BG212" s="180"/>
      <c r="BH212" s="180"/>
      <c r="BI212" s="180"/>
      <c r="BJ212" s="180"/>
      <c r="BK212" s="180"/>
      <c r="BL212" s="180"/>
      <c r="BM212" s="180"/>
      <c r="BN212" s="180"/>
      <c r="BO212" s="180"/>
      <c r="BP212" s="180"/>
      <c r="BQ212" s="180"/>
      <c r="BR212" s="180"/>
      <c r="BS212" s="180"/>
      <c r="BT212" s="180"/>
      <c r="BU212" s="180"/>
      <c r="BV212" s="180"/>
      <c r="BW212" s="180"/>
      <c r="BX212" s="180"/>
      <c r="BY212" s="180"/>
      <c r="BZ212" s="180"/>
      <c r="CA212" s="180"/>
      <c r="CB212" s="180"/>
      <c r="CC212" s="180"/>
      <c r="CD212" s="180"/>
      <c r="CE212" s="180"/>
      <c r="CF212" s="180"/>
      <c r="CG212" s="180"/>
      <c r="CH212" s="180"/>
      <c r="CI212" s="180"/>
      <c r="CJ212" s="180"/>
      <c r="CK212" s="180"/>
      <c r="CL212" s="180"/>
      <c r="CM212" s="180"/>
      <c r="CN212" s="180"/>
      <c r="CO212" s="180"/>
      <c r="CP212" s="180"/>
      <c r="CQ212" s="180"/>
      <c r="CR212" s="180"/>
      <c r="CS212" s="180"/>
      <c r="CT212" s="180"/>
      <c r="CU212" s="180"/>
      <c r="CV212" s="180"/>
      <c r="CW212" s="180"/>
      <c r="CX212" s="180"/>
      <c r="CY212" s="180"/>
      <c r="CZ212" s="180"/>
    </row>
    <row r="213" spans="1:104" x14ac:dyDescent="0.45">
      <c r="A213" s="180" t="s">
        <v>14</v>
      </c>
      <c r="B213" s="73">
        <v>8</v>
      </c>
      <c r="C213" s="73">
        <v>8</v>
      </c>
      <c r="D213" s="180" t="s">
        <v>128</v>
      </c>
      <c r="E213" s="39">
        <v>43590</v>
      </c>
      <c r="F213" s="179">
        <v>0.54027777777777775</v>
      </c>
      <c r="G213" s="180">
        <v>1</v>
      </c>
      <c r="H213" s="180"/>
      <c r="I213" s="180" t="s">
        <v>373</v>
      </c>
      <c r="J213" s="180"/>
      <c r="K213" s="180"/>
      <c r="L213" s="180"/>
      <c r="M213" s="180"/>
      <c r="N213" s="180"/>
      <c r="O213" s="180"/>
      <c r="P213" s="180"/>
      <c r="AS213" s="180"/>
      <c r="AT213" s="180"/>
      <c r="AU213" s="180"/>
      <c r="AV213" s="180"/>
      <c r="AW213" s="180"/>
      <c r="AX213" s="180"/>
      <c r="AY213" s="180"/>
      <c r="AZ213" s="180"/>
      <c r="BA213" s="180"/>
      <c r="BB213" s="180"/>
      <c r="BC213" s="180"/>
      <c r="BD213" s="180"/>
      <c r="BE213" s="180"/>
      <c r="BF213" s="180"/>
      <c r="BG213" s="180"/>
      <c r="BH213" s="180"/>
      <c r="BI213" s="180"/>
      <c r="BJ213" s="180"/>
      <c r="BK213" s="180"/>
      <c r="BL213" s="180"/>
      <c r="BM213" s="180"/>
      <c r="BN213" s="180"/>
      <c r="BO213" s="180"/>
      <c r="BP213" s="180"/>
      <c r="BQ213" s="180"/>
      <c r="BR213" s="180"/>
      <c r="BS213" s="180"/>
      <c r="BT213" s="180"/>
      <c r="BU213" s="180"/>
      <c r="BV213" s="180"/>
      <c r="BW213" s="180"/>
      <c r="BX213" s="180"/>
      <c r="BY213" s="180"/>
      <c r="BZ213" s="180"/>
      <c r="CA213" s="180"/>
      <c r="CB213" s="180"/>
      <c r="CC213" s="180"/>
      <c r="CD213" s="180"/>
      <c r="CE213" s="180"/>
      <c r="CF213" s="180"/>
      <c r="CG213" s="180"/>
      <c r="CH213" s="180"/>
      <c r="CI213" s="180"/>
      <c r="CJ213" s="180"/>
      <c r="CK213" s="180"/>
      <c r="CL213" s="180"/>
      <c r="CM213" s="180"/>
      <c r="CN213" s="180"/>
      <c r="CO213" s="180"/>
      <c r="CP213" s="180"/>
      <c r="CQ213" s="180"/>
      <c r="CR213" s="180"/>
      <c r="CS213" s="180"/>
      <c r="CT213" s="180"/>
      <c r="CU213" s="180"/>
      <c r="CV213" s="180"/>
      <c r="CW213" s="180"/>
      <c r="CX213" s="180"/>
      <c r="CY213" s="180"/>
      <c r="CZ213" s="180"/>
    </row>
    <row r="214" spans="1:104" x14ac:dyDescent="0.45">
      <c r="A214" s="180" t="s">
        <v>14</v>
      </c>
      <c r="B214" s="73">
        <v>40</v>
      </c>
      <c r="C214" s="73"/>
      <c r="D214" s="180" t="s">
        <v>317</v>
      </c>
      <c r="E214" s="39">
        <v>43593</v>
      </c>
      <c r="F214" s="179">
        <v>0.79722222222222217</v>
      </c>
      <c r="G214" s="180">
        <v>7</v>
      </c>
      <c r="H214" s="180"/>
      <c r="I214" s="180"/>
      <c r="J214" s="180"/>
      <c r="K214" s="180"/>
      <c r="L214" s="180"/>
      <c r="M214" s="180"/>
      <c r="N214" s="180"/>
      <c r="O214" s="180"/>
      <c r="P214" s="180"/>
      <c r="AS214" s="180"/>
      <c r="AT214" s="180"/>
      <c r="AU214" s="180"/>
      <c r="AV214" s="180"/>
      <c r="AW214" s="180"/>
      <c r="AX214" s="180"/>
      <c r="AY214" s="180"/>
      <c r="AZ214" s="180"/>
      <c r="BA214" s="180"/>
      <c r="BB214" s="180"/>
      <c r="BC214" s="180"/>
      <c r="BD214" s="180"/>
      <c r="BE214" s="180"/>
      <c r="BF214" s="180"/>
      <c r="BG214" s="180"/>
      <c r="BH214" s="180"/>
      <c r="BI214" s="180"/>
      <c r="BJ214" s="180"/>
      <c r="BK214" s="180"/>
      <c r="BL214" s="180"/>
      <c r="BM214" s="180"/>
      <c r="BN214" s="180"/>
      <c r="BO214" s="180"/>
      <c r="BP214" s="180"/>
      <c r="BQ214" s="180"/>
      <c r="BR214" s="180"/>
      <c r="BS214" s="180"/>
      <c r="BT214" s="180"/>
      <c r="BU214" s="180"/>
      <c r="BV214" s="180"/>
      <c r="BW214" s="180"/>
      <c r="BX214" s="180"/>
      <c r="BY214" s="180"/>
      <c r="BZ214" s="180"/>
      <c r="CA214" s="180"/>
      <c r="CB214" s="180"/>
      <c r="CC214" s="180"/>
      <c r="CD214" s="180"/>
      <c r="CE214" s="180"/>
      <c r="CF214" s="180"/>
      <c r="CG214" s="180"/>
      <c r="CH214" s="180"/>
      <c r="CI214" s="180"/>
      <c r="CJ214" s="180"/>
      <c r="CK214" s="180"/>
      <c r="CL214" s="180"/>
      <c r="CM214" s="180"/>
      <c r="CN214" s="180"/>
      <c r="CO214" s="180"/>
      <c r="CP214" s="180"/>
      <c r="CQ214" s="180"/>
      <c r="CR214" s="180"/>
      <c r="CS214" s="180"/>
      <c r="CT214" s="180"/>
      <c r="CU214" s="180"/>
      <c r="CV214" s="180"/>
      <c r="CW214" s="180"/>
      <c r="CX214" s="180"/>
      <c r="CY214" s="180"/>
      <c r="CZ214" s="180"/>
    </row>
    <row r="215" spans="1:104" x14ac:dyDescent="0.45">
      <c r="A215" s="180" t="s">
        <v>14</v>
      </c>
      <c r="B215" s="73">
        <v>56</v>
      </c>
      <c r="C215" s="73">
        <v>56</v>
      </c>
      <c r="D215" s="180" t="s">
        <v>311</v>
      </c>
      <c r="E215" s="39">
        <v>43593</v>
      </c>
      <c r="F215" s="179">
        <v>0.80208333333333337</v>
      </c>
      <c r="G215" s="180">
        <v>7</v>
      </c>
      <c r="H215" s="180" t="s">
        <v>280</v>
      </c>
      <c r="I215" s="180"/>
      <c r="J215" s="180"/>
      <c r="K215" s="180"/>
      <c r="L215" s="180"/>
      <c r="M215" s="180"/>
      <c r="N215" s="180"/>
      <c r="O215" s="180"/>
      <c r="P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0"/>
      <c r="BR215" s="180"/>
      <c r="BS215" s="180"/>
      <c r="BT215" s="180"/>
      <c r="BU215" s="180"/>
      <c r="BV215" s="180"/>
      <c r="BW215" s="180"/>
      <c r="BX215" s="180"/>
      <c r="BY215" s="180"/>
      <c r="BZ215" s="180"/>
      <c r="CA215" s="180"/>
      <c r="CB215" s="180"/>
      <c r="CC215" s="180"/>
      <c r="CD215" s="180"/>
      <c r="CE215" s="180"/>
      <c r="CF215" s="180"/>
      <c r="CG215" s="180"/>
      <c r="CH215" s="180"/>
      <c r="CI215" s="180"/>
      <c r="CJ215" s="180"/>
      <c r="CK215" s="180"/>
      <c r="CL215" s="180"/>
      <c r="CM215" s="180"/>
      <c r="CN215" s="180"/>
      <c r="CO215" s="180"/>
      <c r="CP215" s="180"/>
      <c r="CQ215" s="180"/>
      <c r="CR215" s="180"/>
      <c r="CS215" s="180"/>
      <c r="CT215" s="180"/>
      <c r="CU215" s="180"/>
      <c r="CV215" s="180"/>
      <c r="CW215" s="180"/>
      <c r="CX215" s="180"/>
      <c r="CY215" s="180"/>
      <c r="CZ215" s="180"/>
    </row>
    <row r="216" spans="1:104" x14ac:dyDescent="0.45">
      <c r="A216" s="180" t="s">
        <v>14</v>
      </c>
      <c r="B216" s="73">
        <v>20</v>
      </c>
      <c r="C216" s="73"/>
      <c r="D216" s="180" t="s">
        <v>309</v>
      </c>
      <c r="E216" s="39">
        <v>43593</v>
      </c>
      <c r="F216" s="179">
        <v>0.78680555555555554</v>
      </c>
      <c r="G216" s="180">
        <v>1</v>
      </c>
      <c r="H216" s="180"/>
      <c r="I216" s="180"/>
      <c r="J216" s="180"/>
      <c r="K216" s="180"/>
      <c r="L216" s="180"/>
      <c r="M216" s="180"/>
      <c r="N216" s="180"/>
      <c r="O216" s="180"/>
      <c r="P216" s="180"/>
      <c r="AS216" s="180"/>
      <c r="AT216" s="180"/>
      <c r="AU216" s="180"/>
      <c r="AV216" s="180"/>
      <c r="AW216" s="180"/>
      <c r="AX216" s="180"/>
      <c r="AY216" s="180"/>
      <c r="AZ216" s="180"/>
      <c r="BA216" s="180"/>
      <c r="BB216" s="180"/>
      <c r="BC216" s="180"/>
      <c r="BD216" s="180"/>
      <c r="BE216" s="180"/>
      <c r="BF216" s="180"/>
      <c r="BG216" s="180"/>
      <c r="BH216" s="180"/>
      <c r="BI216" s="180"/>
      <c r="BJ216" s="180"/>
      <c r="BK216" s="180"/>
      <c r="BL216" s="180"/>
      <c r="BM216" s="180"/>
      <c r="BN216" s="180"/>
      <c r="BO216" s="180"/>
      <c r="BP216" s="180"/>
      <c r="BQ216" s="180"/>
      <c r="BR216" s="180"/>
      <c r="BS216" s="180"/>
      <c r="BT216" s="180"/>
      <c r="BU216" s="180"/>
      <c r="BV216" s="180"/>
      <c r="BW216" s="180"/>
      <c r="BX216" s="180"/>
      <c r="BY216" s="180"/>
      <c r="BZ216" s="180"/>
      <c r="CA216" s="180"/>
      <c r="CB216" s="180"/>
      <c r="CC216" s="180"/>
      <c r="CD216" s="180"/>
      <c r="CE216" s="180"/>
      <c r="CF216" s="180"/>
      <c r="CG216" s="180"/>
      <c r="CH216" s="180"/>
      <c r="CI216" s="180"/>
      <c r="CJ216" s="180"/>
      <c r="CK216" s="180"/>
      <c r="CL216" s="180"/>
      <c r="CM216" s="180"/>
      <c r="CN216" s="180"/>
      <c r="CO216" s="180"/>
      <c r="CP216" s="180"/>
      <c r="CQ216" s="180"/>
      <c r="CR216" s="180"/>
      <c r="CS216" s="180"/>
      <c r="CT216" s="180"/>
      <c r="CU216" s="180"/>
      <c r="CV216" s="180"/>
      <c r="CW216" s="180"/>
      <c r="CX216" s="180"/>
      <c r="CY216" s="180"/>
      <c r="CZ216" s="180"/>
    </row>
    <row r="217" spans="1:104" x14ac:dyDescent="0.45">
      <c r="A217" s="180" t="s">
        <v>14</v>
      </c>
      <c r="B217" s="73">
        <v>200</v>
      </c>
      <c r="C217" s="73">
        <v>200</v>
      </c>
      <c r="D217" s="180" t="s">
        <v>309</v>
      </c>
      <c r="E217" s="39">
        <v>43593</v>
      </c>
      <c r="F217" s="179">
        <v>0.80208333333333337</v>
      </c>
      <c r="G217" s="180">
        <v>5</v>
      </c>
      <c r="H217" s="180"/>
      <c r="I217" s="180"/>
      <c r="J217" s="17"/>
      <c r="K217" s="180"/>
      <c r="L217" s="180"/>
      <c r="M217" s="180"/>
      <c r="N217" s="180"/>
      <c r="O217" s="180"/>
      <c r="P217" s="180"/>
      <c r="AS217" s="180"/>
      <c r="AT217" s="180"/>
      <c r="AU217" s="180"/>
      <c r="AV217" s="180"/>
      <c r="AW217" s="180"/>
      <c r="AX217" s="180"/>
      <c r="AY217" s="180"/>
      <c r="AZ217" s="180"/>
      <c r="BA217" s="180"/>
      <c r="BB217" s="180"/>
      <c r="BC217" s="180"/>
      <c r="BD217" s="180"/>
      <c r="BE217" s="180"/>
      <c r="BF217" s="180"/>
      <c r="BG217" s="180"/>
      <c r="BH217" s="180"/>
      <c r="BI217" s="180"/>
      <c r="BJ217" s="180"/>
      <c r="BK217" s="180"/>
      <c r="BL217" s="180"/>
      <c r="BM217" s="180"/>
      <c r="BN217" s="180"/>
      <c r="BO217" s="180"/>
      <c r="BP217" s="180"/>
      <c r="BQ217" s="180"/>
      <c r="BR217" s="180"/>
      <c r="BS217" s="180"/>
      <c r="BT217" s="180"/>
      <c r="BU217" s="180"/>
      <c r="BV217" s="180"/>
      <c r="BW217" s="180"/>
      <c r="BX217" s="180"/>
      <c r="BY217" s="180"/>
      <c r="BZ217" s="180"/>
      <c r="CA217" s="180"/>
      <c r="CB217" s="180"/>
      <c r="CC217" s="180"/>
      <c r="CD217" s="180"/>
      <c r="CE217" s="180"/>
      <c r="CF217" s="180"/>
      <c r="CG217" s="180"/>
      <c r="CH217" s="180"/>
      <c r="CI217" s="180"/>
      <c r="CJ217" s="180"/>
      <c r="CK217" s="180"/>
      <c r="CL217" s="180"/>
      <c r="CM217" s="180"/>
      <c r="CN217" s="180"/>
      <c r="CO217" s="180"/>
      <c r="CP217" s="180"/>
      <c r="CQ217" s="180"/>
      <c r="CR217" s="180"/>
      <c r="CS217" s="180"/>
      <c r="CT217" s="180"/>
      <c r="CU217" s="180"/>
      <c r="CV217" s="180"/>
      <c r="CW217" s="180"/>
      <c r="CX217" s="180"/>
      <c r="CY217" s="180"/>
      <c r="CZ217" s="180"/>
    </row>
    <row r="218" spans="1:104" x14ac:dyDescent="0.45">
      <c r="A218" s="180" t="s">
        <v>14</v>
      </c>
      <c r="B218" s="73">
        <v>1</v>
      </c>
      <c r="C218" s="73">
        <v>1</v>
      </c>
      <c r="D218" s="180" t="s">
        <v>271</v>
      </c>
      <c r="E218" s="39">
        <v>43593</v>
      </c>
      <c r="F218" s="179">
        <v>0.32013888888888892</v>
      </c>
      <c r="G218" s="180">
        <v>2</v>
      </c>
      <c r="H218" s="180"/>
      <c r="I218" s="180"/>
      <c r="J218" s="180"/>
      <c r="K218" s="180"/>
      <c r="L218" s="180"/>
      <c r="M218" s="180"/>
      <c r="N218" s="180"/>
      <c r="O218" s="180"/>
      <c r="P218" s="180"/>
      <c r="AS218" s="180"/>
      <c r="AT218" s="180"/>
      <c r="AU218" s="180"/>
      <c r="AV218" s="180"/>
      <c r="AW218" s="180"/>
      <c r="AX218" s="180"/>
      <c r="AY218" s="180"/>
      <c r="AZ218" s="180"/>
      <c r="BA218" s="180"/>
      <c r="BB218" s="180"/>
      <c r="BC218" s="180"/>
      <c r="BD218" s="180"/>
      <c r="BE218" s="180"/>
      <c r="BF218" s="180"/>
      <c r="BG218" s="180"/>
      <c r="BH218" s="180"/>
      <c r="BI218" s="180"/>
      <c r="BJ218" s="180"/>
      <c r="BK218" s="180"/>
      <c r="BL218" s="180"/>
      <c r="BM218" s="180"/>
      <c r="BN218" s="180"/>
      <c r="BO218" s="180"/>
      <c r="BP218" s="180"/>
      <c r="BQ218" s="180"/>
      <c r="BR218" s="180"/>
      <c r="BS218" s="180"/>
      <c r="BT218" s="180"/>
      <c r="BU218" s="180"/>
      <c r="BV218" s="180"/>
      <c r="BW218" s="180"/>
      <c r="BX218" s="180"/>
      <c r="BY218" s="180"/>
      <c r="BZ218" s="180"/>
      <c r="CA218" s="180"/>
      <c r="CB218" s="180"/>
      <c r="CC218" s="180"/>
      <c r="CD218" s="180"/>
      <c r="CE218" s="180"/>
      <c r="CF218" s="180"/>
      <c r="CG218" s="180"/>
      <c r="CH218" s="180"/>
      <c r="CI218" s="180"/>
      <c r="CJ218" s="180"/>
      <c r="CK218" s="180"/>
      <c r="CL218" s="180"/>
      <c r="CM218" s="180"/>
      <c r="CN218" s="180"/>
      <c r="CO218" s="180"/>
      <c r="CP218" s="180"/>
      <c r="CQ218" s="180"/>
      <c r="CR218" s="180"/>
      <c r="CS218" s="180"/>
      <c r="CT218" s="180"/>
      <c r="CU218" s="180"/>
      <c r="CV218" s="180"/>
      <c r="CW218" s="180"/>
      <c r="CX218" s="180"/>
      <c r="CY218" s="180"/>
      <c r="CZ218" s="180"/>
    </row>
    <row r="219" spans="1:104" x14ac:dyDescent="0.45">
      <c r="A219" s="180" t="s">
        <v>14</v>
      </c>
      <c r="B219" s="73">
        <v>14</v>
      </c>
      <c r="C219" s="73"/>
      <c r="D219" s="180" t="s">
        <v>374</v>
      </c>
      <c r="E219" s="39">
        <v>43594</v>
      </c>
      <c r="F219" s="179">
        <v>0.81736111111111109</v>
      </c>
      <c r="G219" s="180">
        <v>8</v>
      </c>
      <c r="H219" s="180" t="s">
        <v>375</v>
      </c>
      <c r="I219" s="180"/>
      <c r="J219" s="180"/>
      <c r="K219" s="180"/>
      <c r="L219" s="180"/>
      <c r="M219" s="180"/>
      <c r="N219" s="180"/>
      <c r="O219" s="180"/>
      <c r="P219" s="180"/>
      <c r="AS219" s="180"/>
      <c r="AT219" s="180"/>
      <c r="AU219" s="180"/>
      <c r="AV219" s="180"/>
      <c r="AW219" s="180"/>
      <c r="AX219" s="180"/>
      <c r="AY219" s="180"/>
      <c r="AZ219" s="180"/>
      <c r="BA219" s="180"/>
      <c r="BB219" s="180"/>
      <c r="BC219" s="180"/>
      <c r="BD219" s="180"/>
      <c r="BE219" s="180"/>
      <c r="BF219" s="180"/>
      <c r="BG219" s="180"/>
      <c r="BH219" s="180"/>
      <c r="BI219" s="180"/>
      <c r="BJ219" s="180"/>
      <c r="BK219" s="180"/>
      <c r="BL219" s="180"/>
      <c r="BM219" s="180"/>
      <c r="BN219" s="180"/>
      <c r="BO219" s="180"/>
      <c r="BP219" s="180"/>
      <c r="BQ219" s="180"/>
      <c r="BR219" s="180"/>
      <c r="BS219" s="180"/>
      <c r="BT219" s="180"/>
      <c r="BU219" s="180"/>
      <c r="BV219" s="180"/>
      <c r="BW219" s="180"/>
      <c r="BX219" s="180"/>
      <c r="BY219" s="180"/>
      <c r="BZ219" s="180"/>
      <c r="CA219" s="180"/>
      <c r="CB219" s="180"/>
      <c r="CC219" s="180"/>
      <c r="CD219" s="180"/>
      <c r="CE219" s="180"/>
      <c r="CF219" s="180"/>
      <c r="CG219" s="180"/>
      <c r="CH219" s="180"/>
      <c r="CI219" s="180"/>
      <c r="CJ219" s="180"/>
      <c r="CK219" s="180"/>
      <c r="CL219" s="180"/>
      <c r="CM219" s="180"/>
      <c r="CN219" s="180"/>
      <c r="CO219" s="180"/>
      <c r="CP219" s="180"/>
      <c r="CQ219" s="180"/>
      <c r="CR219" s="180"/>
      <c r="CS219" s="180"/>
      <c r="CT219" s="180"/>
      <c r="CU219" s="180"/>
      <c r="CV219" s="180"/>
      <c r="CW219" s="180"/>
      <c r="CX219" s="180"/>
      <c r="CY219" s="180"/>
      <c r="CZ219" s="180"/>
    </row>
    <row r="220" spans="1:104" x14ac:dyDescent="0.45">
      <c r="A220" s="180" t="s">
        <v>14</v>
      </c>
      <c r="B220" s="73">
        <v>2</v>
      </c>
      <c r="C220" s="73"/>
      <c r="D220" s="180" t="s">
        <v>128</v>
      </c>
      <c r="E220" s="39">
        <v>43594</v>
      </c>
      <c r="F220" s="179">
        <v>0.70833333333333337</v>
      </c>
      <c r="G220" s="180">
        <v>3</v>
      </c>
      <c r="H220" s="180"/>
      <c r="I220" s="180"/>
      <c r="J220" s="180"/>
      <c r="K220" s="180"/>
      <c r="L220" s="180"/>
      <c r="M220" s="180"/>
      <c r="N220" s="180"/>
      <c r="O220" s="180"/>
      <c r="P220" s="180"/>
      <c r="AS220" s="180"/>
      <c r="AT220" s="180"/>
      <c r="AU220" s="180"/>
      <c r="AV220" s="180"/>
      <c r="AW220" s="180"/>
      <c r="AX220" s="180"/>
      <c r="AY220" s="180"/>
      <c r="AZ220" s="180"/>
      <c r="BA220" s="180"/>
      <c r="BB220" s="180"/>
      <c r="BC220" s="180"/>
      <c r="BD220" s="180"/>
      <c r="BE220" s="180"/>
      <c r="BF220" s="180"/>
      <c r="BG220" s="180"/>
      <c r="BH220" s="180"/>
      <c r="BI220" s="180"/>
      <c r="BJ220" s="180"/>
      <c r="BK220" s="180"/>
      <c r="BL220" s="180"/>
      <c r="BM220" s="180"/>
      <c r="BN220" s="180"/>
      <c r="BO220" s="180"/>
      <c r="BP220" s="180"/>
      <c r="BQ220" s="180"/>
      <c r="BR220" s="180"/>
      <c r="BS220" s="180"/>
      <c r="BT220" s="180"/>
      <c r="BU220" s="180"/>
      <c r="BV220" s="180"/>
      <c r="BW220" s="180"/>
      <c r="BX220" s="180"/>
      <c r="BY220" s="180"/>
      <c r="BZ220" s="180"/>
      <c r="CA220" s="180"/>
      <c r="CB220" s="180"/>
      <c r="CC220" s="180"/>
      <c r="CD220" s="180"/>
      <c r="CE220" s="180"/>
      <c r="CF220" s="180"/>
      <c r="CG220" s="180"/>
      <c r="CH220" s="180"/>
      <c r="CI220" s="180"/>
      <c r="CJ220" s="180"/>
      <c r="CK220" s="180"/>
      <c r="CL220" s="180"/>
      <c r="CM220" s="180"/>
      <c r="CN220" s="180"/>
      <c r="CO220" s="180"/>
      <c r="CP220" s="180"/>
      <c r="CQ220" s="180"/>
      <c r="CR220" s="180"/>
      <c r="CS220" s="180"/>
      <c r="CT220" s="180"/>
      <c r="CU220" s="180"/>
      <c r="CV220" s="180"/>
      <c r="CW220" s="180"/>
      <c r="CX220" s="180"/>
      <c r="CY220" s="180"/>
      <c r="CZ220" s="180"/>
    </row>
    <row r="221" spans="1:104" x14ac:dyDescent="0.45">
      <c r="A221" s="180" t="s">
        <v>14</v>
      </c>
      <c r="B221" s="73">
        <v>6</v>
      </c>
      <c r="C221" s="73">
        <v>6</v>
      </c>
      <c r="D221" s="180" t="s">
        <v>317</v>
      </c>
      <c r="E221" s="39">
        <v>43594</v>
      </c>
      <c r="F221" s="179">
        <v>0.39374999999999999</v>
      </c>
      <c r="G221" s="180">
        <v>2</v>
      </c>
      <c r="H221" s="180"/>
      <c r="I221" s="180"/>
      <c r="J221" s="180"/>
      <c r="K221" s="180"/>
      <c r="L221" s="180"/>
      <c r="M221" s="180"/>
      <c r="N221" s="180"/>
      <c r="O221" s="180"/>
      <c r="P221" s="180"/>
      <c r="AS221" s="180"/>
      <c r="AT221" s="180"/>
      <c r="AU221" s="180"/>
      <c r="AV221" s="180"/>
      <c r="AW221" s="180"/>
      <c r="AX221" s="180"/>
      <c r="AY221" s="180"/>
      <c r="AZ221" s="180"/>
      <c r="BA221" s="180"/>
      <c r="BB221" s="180"/>
      <c r="BC221" s="180"/>
      <c r="BD221" s="180"/>
      <c r="BE221" s="180"/>
      <c r="BF221" s="180"/>
      <c r="BG221" s="180"/>
      <c r="BH221" s="180"/>
      <c r="BI221" s="180"/>
      <c r="BJ221" s="180"/>
      <c r="BK221" s="180"/>
      <c r="BL221" s="180"/>
      <c r="BM221" s="180"/>
      <c r="BN221" s="180"/>
      <c r="BO221" s="180"/>
      <c r="BP221" s="180"/>
      <c r="BQ221" s="180"/>
      <c r="BR221" s="180"/>
      <c r="BS221" s="180"/>
      <c r="BT221" s="180"/>
      <c r="BU221" s="180"/>
      <c r="BV221" s="180"/>
      <c r="BW221" s="180"/>
      <c r="BX221" s="180"/>
      <c r="BY221" s="180"/>
      <c r="BZ221" s="180"/>
      <c r="CA221" s="180"/>
      <c r="CB221" s="180"/>
      <c r="CC221" s="180"/>
      <c r="CD221" s="180"/>
      <c r="CE221" s="180"/>
      <c r="CF221" s="180"/>
      <c r="CG221" s="180"/>
      <c r="CH221" s="180"/>
      <c r="CI221" s="180"/>
      <c r="CJ221" s="180"/>
      <c r="CK221" s="180"/>
      <c r="CL221" s="180"/>
      <c r="CM221" s="180"/>
      <c r="CN221" s="180"/>
      <c r="CO221" s="180"/>
      <c r="CP221" s="180"/>
      <c r="CQ221" s="180"/>
      <c r="CR221" s="180"/>
      <c r="CS221" s="180"/>
      <c r="CT221" s="180"/>
      <c r="CU221" s="180"/>
      <c r="CV221" s="180"/>
      <c r="CW221" s="180"/>
      <c r="CX221" s="180"/>
      <c r="CY221" s="180"/>
      <c r="CZ221" s="180"/>
    </row>
    <row r="222" spans="1:104" x14ac:dyDescent="0.45">
      <c r="A222" s="180" t="s">
        <v>14</v>
      </c>
      <c r="B222" s="73">
        <v>6</v>
      </c>
      <c r="C222" s="73"/>
      <c r="D222" s="180" t="s">
        <v>317</v>
      </c>
      <c r="E222" s="39">
        <v>43594</v>
      </c>
      <c r="F222" s="179">
        <v>0.39374999999999999</v>
      </c>
      <c r="G222" s="180">
        <v>2</v>
      </c>
      <c r="H222" s="180"/>
      <c r="I222" s="180"/>
      <c r="J222" s="180"/>
      <c r="K222" s="180"/>
      <c r="L222" s="180"/>
      <c r="M222" s="180"/>
      <c r="N222" s="180"/>
      <c r="O222" s="180"/>
      <c r="P222" s="180"/>
      <c r="AS222" s="180"/>
      <c r="AT222" s="180"/>
      <c r="AU222" s="180"/>
      <c r="AV222" s="180"/>
      <c r="AW222" s="180"/>
      <c r="AX222" s="180"/>
      <c r="AY222" s="180"/>
      <c r="AZ222" s="180"/>
      <c r="BA222" s="180"/>
      <c r="BB222" s="180"/>
      <c r="BC222" s="180"/>
      <c r="BD222" s="180"/>
      <c r="BE222" s="180"/>
      <c r="BF222" s="180"/>
      <c r="BG222" s="180"/>
      <c r="BH222" s="180"/>
      <c r="BI222" s="180"/>
      <c r="BJ222" s="180"/>
      <c r="BK222" s="180"/>
      <c r="BL222" s="180"/>
      <c r="BM222" s="180"/>
      <c r="BN222" s="180"/>
      <c r="BO222" s="180"/>
      <c r="BP222" s="180"/>
      <c r="BQ222" s="180"/>
      <c r="BR222" s="180"/>
      <c r="BS222" s="180"/>
      <c r="BT222" s="180"/>
      <c r="BU222" s="180"/>
      <c r="BV222" s="180"/>
      <c r="BW222" s="180"/>
      <c r="BX222" s="180"/>
      <c r="BY222" s="180"/>
      <c r="BZ222" s="180"/>
      <c r="CA222" s="180"/>
      <c r="CB222" s="180"/>
      <c r="CC222" s="180"/>
      <c r="CD222" s="180"/>
      <c r="CE222" s="180"/>
      <c r="CF222" s="180"/>
      <c r="CG222" s="180"/>
      <c r="CH222" s="180"/>
      <c r="CI222" s="180"/>
      <c r="CJ222" s="180"/>
      <c r="CK222" s="180"/>
      <c r="CL222" s="180"/>
      <c r="CM222" s="180"/>
      <c r="CN222" s="180"/>
      <c r="CO222" s="180"/>
      <c r="CP222" s="180"/>
      <c r="CQ222" s="180"/>
      <c r="CR222" s="180"/>
      <c r="CS222" s="180"/>
      <c r="CT222" s="180"/>
      <c r="CU222" s="180"/>
      <c r="CV222" s="180"/>
      <c r="CW222" s="180"/>
      <c r="CX222" s="180"/>
      <c r="CY222" s="180"/>
      <c r="CZ222" s="180"/>
    </row>
    <row r="223" spans="1:104" x14ac:dyDescent="0.45">
      <c r="A223" s="180" t="s">
        <v>14</v>
      </c>
      <c r="B223" s="73">
        <v>6</v>
      </c>
      <c r="C223" s="73"/>
      <c r="D223" s="180" t="s">
        <v>317</v>
      </c>
      <c r="E223" s="39">
        <v>43594</v>
      </c>
      <c r="F223" s="179">
        <v>0.39374999999999999</v>
      </c>
      <c r="G223" s="180">
        <v>2</v>
      </c>
      <c r="H223" s="180"/>
      <c r="I223" s="180"/>
      <c r="J223" s="180"/>
      <c r="K223" s="180"/>
      <c r="L223" s="180"/>
      <c r="M223" s="180"/>
      <c r="N223" s="180"/>
      <c r="O223" s="180"/>
      <c r="P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0"/>
      <c r="BR223" s="180"/>
      <c r="BS223" s="180"/>
      <c r="BT223" s="180"/>
      <c r="BU223" s="180"/>
      <c r="BV223" s="180"/>
      <c r="BW223" s="180"/>
      <c r="BX223" s="180"/>
      <c r="BY223" s="180"/>
      <c r="BZ223" s="180"/>
      <c r="CA223" s="180"/>
      <c r="CB223" s="180"/>
      <c r="CC223" s="180"/>
      <c r="CD223" s="180"/>
      <c r="CE223" s="180"/>
      <c r="CF223" s="180"/>
      <c r="CG223" s="180"/>
      <c r="CH223" s="180"/>
      <c r="CI223" s="180"/>
      <c r="CJ223" s="180"/>
      <c r="CK223" s="180"/>
      <c r="CL223" s="180"/>
      <c r="CM223" s="180"/>
      <c r="CN223" s="180"/>
      <c r="CO223" s="180"/>
      <c r="CP223" s="180"/>
      <c r="CQ223" s="180"/>
      <c r="CR223" s="180"/>
      <c r="CS223" s="180"/>
      <c r="CT223" s="180"/>
      <c r="CU223" s="180"/>
      <c r="CV223" s="180"/>
      <c r="CW223" s="180"/>
      <c r="CX223" s="180"/>
      <c r="CY223" s="180"/>
      <c r="CZ223" s="180"/>
    </row>
    <row r="224" spans="1:104" x14ac:dyDescent="0.45">
      <c r="A224" s="180" t="s">
        <v>14</v>
      </c>
      <c r="B224" s="73">
        <v>10</v>
      </c>
      <c r="C224" s="73">
        <v>10</v>
      </c>
      <c r="D224" s="180" t="s">
        <v>309</v>
      </c>
      <c r="E224" s="39">
        <v>43594</v>
      </c>
      <c r="F224" s="179">
        <v>0.77777777777777779</v>
      </c>
      <c r="G224" s="180">
        <v>1</v>
      </c>
      <c r="H224" s="180"/>
      <c r="I224" s="180"/>
      <c r="J224" s="180"/>
      <c r="K224" s="180"/>
      <c r="L224" s="180"/>
      <c r="M224" s="180"/>
      <c r="N224" s="180"/>
      <c r="O224" s="180"/>
      <c r="P224" s="180"/>
      <c r="AS224" s="180"/>
      <c r="AT224" s="180"/>
      <c r="AU224" s="180"/>
      <c r="AV224" s="180"/>
      <c r="AW224" s="180"/>
      <c r="AX224" s="180"/>
      <c r="AY224" s="180"/>
      <c r="AZ224" s="180"/>
      <c r="BA224" s="180"/>
      <c r="BB224" s="180"/>
      <c r="BC224" s="180"/>
      <c r="BD224" s="180"/>
      <c r="BE224" s="180"/>
      <c r="BF224" s="180"/>
      <c r="BG224" s="180"/>
      <c r="BH224" s="180"/>
      <c r="BI224" s="180"/>
      <c r="BJ224" s="180"/>
      <c r="BK224" s="180"/>
      <c r="BL224" s="180"/>
      <c r="BM224" s="180"/>
      <c r="BN224" s="180"/>
      <c r="BO224" s="180"/>
      <c r="BP224" s="180"/>
      <c r="BQ224" s="180"/>
      <c r="BR224" s="180"/>
      <c r="BS224" s="180"/>
      <c r="BT224" s="180"/>
      <c r="BU224" s="180"/>
      <c r="BV224" s="180"/>
      <c r="BW224" s="180"/>
      <c r="BX224" s="180"/>
      <c r="BY224" s="180"/>
      <c r="BZ224" s="180"/>
      <c r="CA224" s="180"/>
      <c r="CB224" s="180"/>
      <c r="CC224" s="180"/>
      <c r="CD224" s="180"/>
      <c r="CE224" s="180"/>
      <c r="CF224" s="180"/>
      <c r="CG224" s="180"/>
      <c r="CH224" s="180"/>
      <c r="CI224" s="180"/>
      <c r="CJ224" s="180"/>
      <c r="CK224" s="180"/>
      <c r="CL224" s="180"/>
      <c r="CM224" s="180"/>
      <c r="CN224" s="180"/>
      <c r="CO224" s="180"/>
      <c r="CP224" s="180"/>
      <c r="CQ224" s="180"/>
      <c r="CR224" s="180"/>
      <c r="CS224" s="180"/>
      <c r="CT224" s="180"/>
      <c r="CU224" s="180"/>
      <c r="CV224" s="180"/>
      <c r="CW224" s="180"/>
      <c r="CX224" s="180"/>
      <c r="CY224" s="180"/>
      <c r="CZ224" s="180"/>
    </row>
    <row r="225" spans="1:104" x14ac:dyDescent="0.45">
      <c r="A225" s="180" t="s">
        <v>14</v>
      </c>
      <c r="B225" s="73">
        <v>6</v>
      </c>
      <c r="C225" s="73"/>
      <c r="D225" s="180" t="s">
        <v>309</v>
      </c>
      <c r="E225" s="39">
        <v>43594</v>
      </c>
      <c r="F225" s="179">
        <v>0.80208333333333337</v>
      </c>
      <c r="G225" s="180">
        <v>1</v>
      </c>
      <c r="H225" s="180"/>
      <c r="I225" s="180"/>
      <c r="J225" s="180"/>
      <c r="K225" s="180"/>
      <c r="L225" s="180"/>
      <c r="M225" s="180"/>
      <c r="N225" s="180"/>
      <c r="O225" s="180"/>
      <c r="P225" s="180"/>
      <c r="AS225" s="180"/>
      <c r="AT225" s="180"/>
      <c r="AU225" s="180"/>
      <c r="AV225" s="180"/>
      <c r="AW225" s="180"/>
      <c r="AX225" s="180"/>
      <c r="AY225" s="180"/>
      <c r="AZ225" s="180"/>
      <c r="BA225" s="180"/>
      <c r="BB225" s="180"/>
      <c r="BC225" s="180"/>
      <c r="BD225" s="180"/>
      <c r="BE225" s="180"/>
      <c r="BF225" s="180"/>
      <c r="BG225" s="180"/>
      <c r="BH225" s="180"/>
      <c r="BI225" s="180"/>
      <c r="BJ225" s="180"/>
      <c r="BK225" s="180"/>
      <c r="BL225" s="180"/>
      <c r="BM225" s="180"/>
      <c r="BN225" s="180"/>
      <c r="BO225" s="180"/>
      <c r="BP225" s="180"/>
      <c r="BQ225" s="180"/>
      <c r="BR225" s="180"/>
      <c r="BS225" s="180"/>
      <c r="BT225" s="180"/>
      <c r="BU225" s="180"/>
      <c r="BV225" s="180"/>
      <c r="BW225" s="180"/>
      <c r="BX225" s="180"/>
      <c r="BY225" s="180"/>
      <c r="BZ225" s="180"/>
      <c r="CA225" s="180"/>
      <c r="CB225" s="180"/>
      <c r="CC225" s="180"/>
      <c r="CD225" s="180"/>
      <c r="CE225" s="180"/>
      <c r="CF225" s="180"/>
      <c r="CG225" s="180"/>
      <c r="CH225" s="180"/>
      <c r="CI225" s="180"/>
      <c r="CJ225" s="180"/>
      <c r="CK225" s="180"/>
      <c r="CL225" s="180"/>
      <c r="CM225" s="180"/>
      <c r="CN225" s="180"/>
      <c r="CO225" s="180"/>
      <c r="CP225" s="180"/>
      <c r="CQ225" s="180"/>
      <c r="CR225" s="180"/>
      <c r="CS225" s="180"/>
      <c r="CT225" s="180"/>
      <c r="CU225" s="180"/>
      <c r="CV225" s="180"/>
      <c r="CW225" s="180"/>
      <c r="CX225" s="180"/>
      <c r="CY225" s="180"/>
      <c r="CZ225" s="180"/>
    </row>
    <row r="226" spans="1:104" x14ac:dyDescent="0.45">
      <c r="A226" s="180" t="s">
        <v>14</v>
      </c>
      <c r="B226" s="73">
        <v>23</v>
      </c>
      <c r="C226" s="73">
        <v>23</v>
      </c>
      <c r="D226" s="180" t="s">
        <v>376</v>
      </c>
      <c r="E226" s="39">
        <v>43594</v>
      </c>
      <c r="F226" s="179">
        <v>0.33749999999999997</v>
      </c>
      <c r="G226" s="180">
        <v>2</v>
      </c>
      <c r="H226" s="180"/>
      <c r="I226" s="180"/>
      <c r="J226" s="180"/>
      <c r="K226" s="180"/>
      <c r="L226" s="180"/>
      <c r="M226" s="180"/>
      <c r="N226" s="180"/>
      <c r="O226" s="180"/>
      <c r="P226" s="180"/>
      <c r="AS226" s="180"/>
      <c r="AT226" s="180"/>
      <c r="AU226" s="180"/>
      <c r="AV226" s="180"/>
      <c r="AW226" s="180"/>
      <c r="AX226" s="180"/>
      <c r="AY226" s="180"/>
      <c r="AZ226" s="180"/>
      <c r="BA226" s="180"/>
      <c r="BB226" s="180"/>
      <c r="BC226" s="180"/>
      <c r="BD226" s="180"/>
      <c r="BE226" s="180"/>
      <c r="BF226" s="180"/>
      <c r="BG226" s="180"/>
      <c r="BH226" s="180"/>
      <c r="BI226" s="180"/>
      <c r="BJ226" s="180"/>
      <c r="BK226" s="180"/>
      <c r="BL226" s="180"/>
      <c r="BM226" s="180"/>
      <c r="BN226" s="180"/>
      <c r="BO226" s="180"/>
      <c r="BP226" s="180"/>
      <c r="BQ226" s="180"/>
      <c r="BR226" s="180"/>
      <c r="BS226" s="180"/>
      <c r="BT226" s="180"/>
      <c r="BU226" s="180"/>
      <c r="BV226" s="180"/>
      <c r="BW226" s="180"/>
      <c r="BX226" s="180"/>
      <c r="BY226" s="180"/>
      <c r="BZ226" s="180"/>
      <c r="CA226" s="180"/>
      <c r="CB226" s="180"/>
      <c r="CC226" s="180"/>
      <c r="CD226" s="180"/>
      <c r="CE226" s="180"/>
      <c r="CF226" s="180"/>
      <c r="CG226" s="180"/>
      <c r="CH226" s="180"/>
      <c r="CI226" s="180"/>
      <c r="CJ226" s="180"/>
      <c r="CK226" s="180"/>
      <c r="CL226" s="180"/>
      <c r="CM226" s="180"/>
      <c r="CN226" s="180"/>
      <c r="CO226" s="180"/>
      <c r="CP226" s="180"/>
      <c r="CQ226" s="180"/>
      <c r="CR226" s="180"/>
      <c r="CS226" s="180"/>
      <c r="CT226" s="180"/>
      <c r="CU226" s="180"/>
      <c r="CV226" s="180"/>
      <c r="CW226" s="180"/>
      <c r="CX226" s="180"/>
      <c r="CY226" s="180"/>
      <c r="CZ226" s="180"/>
    </row>
    <row r="227" spans="1:104" x14ac:dyDescent="0.45">
      <c r="A227" s="180" t="s">
        <v>14</v>
      </c>
      <c r="B227" s="73">
        <v>1</v>
      </c>
      <c r="C227" s="73"/>
      <c r="D227" s="180" t="s">
        <v>271</v>
      </c>
      <c r="E227" s="39">
        <v>43594</v>
      </c>
      <c r="F227" s="179">
        <v>0.50902777777777775</v>
      </c>
      <c r="G227" s="180">
        <v>1</v>
      </c>
      <c r="H227" s="180"/>
      <c r="I227" s="180"/>
      <c r="J227" s="180"/>
      <c r="K227" s="180"/>
      <c r="L227" s="180"/>
      <c r="M227" s="180"/>
      <c r="N227" s="180"/>
      <c r="O227" s="180"/>
      <c r="P227" s="180"/>
      <c r="AS227" s="180"/>
      <c r="AT227" s="180"/>
      <c r="AU227" s="180"/>
      <c r="AV227" s="180"/>
      <c r="AW227" s="180"/>
      <c r="AX227" s="180"/>
      <c r="AY227" s="180"/>
      <c r="AZ227" s="180"/>
      <c r="BA227" s="180"/>
      <c r="BB227" s="180"/>
      <c r="BC227" s="180"/>
      <c r="BD227" s="180"/>
      <c r="BE227" s="180"/>
      <c r="BF227" s="180"/>
      <c r="BG227" s="180"/>
      <c r="BH227" s="180"/>
      <c r="BI227" s="180"/>
      <c r="BJ227" s="180"/>
      <c r="BK227" s="180"/>
      <c r="BL227" s="180"/>
      <c r="BM227" s="180"/>
      <c r="BN227" s="180"/>
      <c r="BO227" s="180"/>
      <c r="BP227" s="180"/>
      <c r="BQ227" s="180"/>
      <c r="BR227" s="180"/>
      <c r="BS227" s="180"/>
      <c r="BT227" s="180"/>
      <c r="BU227" s="180"/>
      <c r="BV227" s="180"/>
      <c r="BW227" s="180"/>
      <c r="BX227" s="180"/>
      <c r="BY227" s="180"/>
      <c r="BZ227" s="180"/>
      <c r="CA227" s="180"/>
      <c r="CB227" s="180"/>
      <c r="CC227" s="180"/>
      <c r="CD227" s="180"/>
      <c r="CE227" s="180"/>
      <c r="CF227" s="180"/>
      <c r="CG227" s="180"/>
      <c r="CH227" s="180"/>
      <c r="CI227" s="180"/>
      <c r="CJ227" s="180"/>
      <c r="CK227" s="180"/>
      <c r="CL227" s="180"/>
      <c r="CM227" s="180"/>
      <c r="CN227" s="180"/>
      <c r="CO227" s="180"/>
      <c r="CP227" s="180"/>
      <c r="CQ227" s="180"/>
      <c r="CR227" s="180"/>
      <c r="CS227" s="180"/>
      <c r="CT227" s="180"/>
      <c r="CU227" s="180"/>
      <c r="CV227" s="180"/>
      <c r="CW227" s="180"/>
      <c r="CX227" s="180"/>
      <c r="CY227" s="180"/>
      <c r="CZ227" s="180"/>
    </row>
    <row r="228" spans="1:104" x14ac:dyDescent="0.45">
      <c r="A228" s="180" t="s">
        <v>14</v>
      </c>
      <c r="B228" s="73">
        <v>1</v>
      </c>
      <c r="C228" s="73"/>
      <c r="D228" s="180" t="s">
        <v>271</v>
      </c>
      <c r="E228" s="39">
        <v>43594</v>
      </c>
      <c r="F228" s="179">
        <v>0.54166666666666663</v>
      </c>
      <c r="G228" s="180">
        <v>1</v>
      </c>
      <c r="H228" s="180"/>
      <c r="I228" s="180"/>
      <c r="J228" s="180"/>
      <c r="K228" s="180"/>
      <c r="L228" s="180"/>
      <c r="M228" s="180"/>
      <c r="N228" s="180"/>
      <c r="O228" s="180"/>
      <c r="P228" s="180"/>
      <c r="AS228" s="180"/>
      <c r="AT228" s="180"/>
      <c r="AU228" s="180"/>
      <c r="AV228" s="180"/>
      <c r="AW228" s="180"/>
      <c r="AX228" s="180"/>
      <c r="AY228" s="180"/>
      <c r="AZ228" s="180"/>
      <c r="BA228" s="180"/>
      <c r="BB228" s="180"/>
      <c r="BC228" s="180"/>
      <c r="BD228" s="180"/>
      <c r="BE228" s="180"/>
      <c r="BF228" s="180"/>
      <c r="BG228" s="180"/>
      <c r="BH228" s="180"/>
      <c r="BI228" s="180"/>
      <c r="BJ228" s="180"/>
      <c r="BK228" s="180"/>
      <c r="BL228" s="180"/>
      <c r="BM228" s="180"/>
      <c r="BN228" s="180"/>
      <c r="BO228" s="180"/>
      <c r="BP228" s="180"/>
      <c r="BQ228" s="180"/>
      <c r="BR228" s="180"/>
      <c r="BS228" s="180"/>
      <c r="BT228" s="180"/>
      <c r="BU228" s="180"/>
      <c r="BV228" s="180"/>
      <c r="BW228" s="180"/>
      <c r="BX228" s="180"/>
      <c r="BY228" s="180"/>
      <c r="BZ228" s="180"/>
      <c r="CA228" s="180"/>
      <c r="CB228" s="180"/>
      <c r="CC228" s="180"/>
      <c r="CD228" s="180"/>
      <c r="CE228" s="180"/>
      <c r="CF228" s="180"/>
      <c r="CG228" s="180"/>
      <c r="CH228" s="180"/>
      <c r="CI228" s="180"/>
      <c r="CJ228" s="180"/>
      <c r="CK228" s="180"/>
      <c r="CL228" s="180"/>
      <c r="CM228" s="180"/>
      <c r="CN228" s="180"/>
      <c r="CO228" s="180"/>
      <c r="CP228" s="180"/>
      <c r="CQ228" s="180"/>
      <c r="CR228" s="180"/>
      <c r="CS228" s="180"/>
      <c r="CT228" s="180"/>
      <c r="CU228" s="180"/>
      <c r="CV228" s="180"/>
      <c r="CW228" s="180"/>
      <c r="CX228" s="180"/>
      <c r="CY228" s="180"/>
      <c r="CZ228" s="180"/>
    </row>
    <row r="229" spans="1:104" x14ac:dyDescent="0.45">
      <c r="A229" s="180" t="s">
        <v>14</v>
      </c>
      <c r="B229" s="73">
        <v>20</v>
      </c>
      <c r="C229" s="73"/>
      <c r="D229" s="180" t="s">
        <v>271</v>
      </c>
      <c r="E229" s="39">
        <v>43594</v>
      </c>
      <c r="F229" s="179">
        <v>0.59305555555555556</v>
      </c>
      <c r="G229" s="180">
        <v>1</v>
      </c>
      <c r="H229" s="180"/>
      <c r="I229" s="180"/>
      <c r="J229" s="180"/>
      <c r="K229" s="180"/>
      <c r="L229" s="180"/>
      <c r="M229" s="180"/>
      <c r="N229" s="180"/>
      <c r="O229" s="180"/>
      <c r="P229" s="180"/>
      <c r="AS229" s="180"/>
      <c r="AT229" s="180"/>
      <c r="AU229" s="180"/>
      <c r="AV229" s="180"/>
      <c r="AW229" s="180"/>
      <c r="AX229" s="180"/>
      <c r="AY229" s="180"/>
      <c r="AZ229" s="180"/>
      <c r="BA229" s="180"/>
      <c r="BB229" s="180"/>
      <c r="BC229" s="180"/>
      <c r="BD229" s="180"/>
      <c r="BE229" s="180"/>
      <c r="BF229" s="180"/>
      <c r="BG229" s="180"/>
      <c r="BH229" s="180"/>
      <c r="BI229" s="180"/>
      <c r="BJ229" s="180"/>
      <c r="BK229" s="180"/>
      <c r="BL229" s="180"/>
      <c r="BM229" s="180"/>
      <c r="BN229" s="180"/>
      <c r="BO229" s="180"/>
      <c r="BP229" s="180"/>
      <c r="BQ229" s="180"/>
      <c r="BR229" s="180"/>
      <c r="BS229" s="180"/>
      <c r="BT229" s="180"/>
      <c r="BU229" s="180"/>
      <c r="BV229" s="180"/>
      <c r="BW229" s="180"/>
      <c r="BX229" s="180"/>
      <c r="BY229" s="180"/>
      <c r="BZ229" s="180"/>
      <c r="CA229" s="180"/>
      <c r="CB229" s="180"/>
      <c r="CC229" s="180"/>
      <c r="CD229" s="180"/>
      <c r="CE229" s="180"/>
      <c r="CF229" s="180"/>
      <c r="CG229" s="180"/>
      <c r="CH229" s="180"/>
      <c r="CI229" s="180"/>
      <c r="CJ229" s="180"/>
      <c r="CK229" s="180"/>
      <c r="CL229" s="180"/>
      <c r="CM229" s="180"/>
      <c r="CN229" s="180"/>
      <c r="CO229" s="180"/>
      <c r="CP229" s="180"/>
      <c r="CQ229" s="180"/>
      <c r="CR229" s="180"/>
      <c r="CS229" s="180"/>
      <c r="CT229" s="180"/>
      <c r="CU229" s="180"/>
      <c r="CV229" s="180"/>
      <c r="CW229" s="180"/>
      <c r="CX229" s="180"/>
      <c r="CY229" s="180"/>
      <c r="CZ229" s="180"/>
    </row>
    <row r="230" spans="1:104" x14ac:dyDescent="0.45">
      <c r="A230" s="180" t="s">
        <v>14</v>
      </c>
      <c r="B230" s="73">
        <v>6</v>
      </c>
      <c r="C230" s="73"/>
      <c r="D230" s="180" t="s">
        <v>359</v>
      </c>
      <c r="E230" s="39">
        <v>43594</v>
      </c>
      <c r="F230" s="179">
        <v>0.75</v>
      </c>
      <c r="G230" s="180">
        <v>2</v>
      </c>
      <c r="H230" s="180"/>
      <c r="I230" s="180" t="s">
        <v>377</v>
      </c>
      <c r="J230" s="180"/>
      <c r="K230" s="180"/>
      <c r="L230" s="180"/>
      <c r="M230" s="180"/>
      <c r="N230" s="180"/>
      <c r="O230" s="180"/>
      <c r="P230" s="180"/>
      <c r="AS230" s="180"/>
      <c r="AT230" s="180"/>
      <c r="AU230" s="180"/>
      <c r="AV230" s="180"/>
      <c r="AW230" s="180"/>
      <c r="AX230" s="180"/>
      <c r="AY230" s="180"/>
      <c r="AZ230" s="180"/>
      <c r="BA230" s="180"/>
      <c r="BB230" s="180"/>
      <c r="BC230" s="180"/>
      <c r="BD230" s="180"/>
      <c r="BE230" s="180"/>
      <c r="BF230" s="180"/>
      <c r="BG230" s="180"/>
      <c r="BH230" s="180"/>
      <c r="BI230" s="180"/>
      <c r="BJ230" s="180"/>
      <c r="BK230" s="180"/>
      <c r="BL230" s="180"/>
      <c r="BM230" s="180"/>
      <c r="BN230" s="180"/>
      <c r="BO230" s="180"/>
      <c r="BP230" s="180"/>
      <c r="BQ230" s="180"/>
      <c r="BR230" s="180"/>
      <c r="BS230" s="180"/>
      <c r="BT230" s="180"/>
      <c r="BU230" s="180"/>
      <c r="BV230" s="180"/>
      <c r="BW230" s="180"/>
      <c r="BX230" s="180"/>
      <c r="BY230" s="180"/>
      <c r="BZ230" s="180"/>
      <c r="CA230" s="180"/>
      <c r="CB230" s="180"/>
      <c r="CC230" s="180"/>
      <c r="CD230" s="180"/>
      <c r="CE230" s="180"/>
      <c r="CF230" s="180"/>
      <c r="CG230" s="180"/>
      <c r="CH230" s="180"/>
      <c r="CI230" s="180"/>
      <c r="CJ230" s="180"/>
      <c r="CK230" s="180"/>
      <c r="CL230" s="180"/>
      <c r="CM230" s="180"/>
      <c r="CN230" s="180"/>
      <c r="CO230" s="180"/>
      <c r="CP230" s="180"/>
      <c r="CQ230" s="180"/>
      <c r="CR230" s="180"/>
      <c r="CS230" s="180"/>
      <c r="CT230" s="180"/>
      <c r="CU230" s="180"/>
      <c r="CV230" s="180"/>
      <c r="CW230" s="180"/>
      <c r="CX230" s="180"/>
      <c r="CY230" s="180"/>
      <c r="CZ230" s="180"/>
    </row>
    <row r="231" spans="1:104" x14ac:dyDescent="0.45">
      <c r="A231" s="180" t="s">
        <v>14</v>
      </c>
      <c r="B231" s="73">
        <v>1</v>
      </c>
      <c r="C231" s="73"/>
      <c r="D231" s="180" t="s">
        <v>378</v>
      </c>
      <c r="E231" s="39">
        <v>43595</v>
      </c>
      <c r="F231" s="179">
        <v>0.72916666666666663</v>
      </c>
      <c r="G231" s="180">
        <v>3</v>
      </c>
      <c r="H231" s="180"/>
      <c r="I231" s="180"/>
      <c r="J231" s="180"/>
      <c r="K231" s="180"/>
      <c r="L231" s="180"/>
      <c r="M231" s="180"/>
      <c r="N231" s="180"/>
      <c r="O231" s="180"/>
      <c r="P231" s="180"/>
      <c r="AS231" s="180"/>
      <c r="AT231" s="180"/>
      <c r="AU231" s="180"/>
      <c r="AV231" s="180"/>
      <c r="AW231" s="180"/>
      <c r="AX231" s="180"/>
      <c r="AY231" s="180"/>
      <c r="AZ231" s="180"/>
      <c r="BA231" s="180"/>
      <c r="BB231" s="180"/>
      <c r="BC231" s="180"/>
      <c r="BD231" s="180"/>
      <c r="BE231" s="180"/>
      <c r="BF231" s="180"/>
      <c r="BG231" s="180"/>
      <c r="BH231" s="180"/>
      <c r="BI231" s="180"/>
      <c r="BJ231" s="180"/>
      <c r="BK231" s="180"/>
      <c r="BL231" s="180"/>
      <c r="BM231" s="180"/>
      <c r="BN231" s="180"/>
      <c r="BO231" s="180"/>
      <c r="BP231" s="180"/>
      <c r="BQ231" s="180"/>
      <c r="BR231" s="180"/>
      <c r="BS231" s="180"/>
      <c r="BT231" s="180"/>
      <c r="BU231" s="180"/>
      <c r="BV231" s="180"/>
      <c r="BW231" s="180"/>
      <c r="BX231" s="180"/>
      <c r="BY231" s="180"/>
      <c r="BZ231" s="180"/>
      <c r="CA231" s="180"/>
      <c r="CB231" s="180"/>
      <c r="CC231" s="180"/>
      <c r="CD231" s="180"/>
      <c r="CE231" s="180"/>
      <c r="CF231" s="180"/>
      <c r="CG231" s="180"/>
      <c r="CH231" s="180"/>
      <c r="CI231" s="180"/>
      <c r="CJ231" s="180"/>
      <c r="CK231" s="180"/>
      <c r="CL231" s="180"/>
      <c r="CM231" s="180"/>
      <c r="CN231" s="180"/>
      <c r="CO231" s="180"/>
      <c r="CP231" s="180"/>
      <c r="CQ231" s="180"/>
      <c r="CR231" s="180"/>
      <c r="CS231" s="180"/>
      <c r="CT231" s="180"/>
      <c r="CU231" s="180"/>
      <c r="CV231" s="180"/>
      <c r="CW231" s="180"/>
      <c r="CX231" s="180"/>
      <c r="CY231" s="180"/>
      <c r="CZ231" s="180"/>
    </row>
    <row r="232" spans="1:104" x14ac:dyDescent="0.45">
      <c r="A232" s="180" t="s">
        <v>14</v>
      </c>
      <c r="B232" s="73">
        <v>8</v>
      </c>
      <c r="C232" s="73">
        <v>8</v>
      </c>
      <c r="D232" s="180" t="s">
        <v>314</v>
      </c>
      <c r="E232" s="39">
        <v>43595</v>
      </c>
      <c r="F232" s="179">
        <v>0.54583333333333328</v>
      </c>
      <c r="G232" s="180">
        <v>1</v>
      </c>
      <c r="H232" s="180"/>
      <c r="I232" s="180"/>
      <c r="J232" s="180"/>
      <c r="K232" s="180"/>
      <c r="L232" s="180"/>
      <c r="M232" s="180"/>
      <c r="N232" s="180"/>
      <c r="O232" s="180"/>
      <c r="P232" s="180"/>
      <c r="AS232" s="180"/>
      <c r="AT232" s="180"/>
      <c r="AU232" s="180"/>
      <c r="AV232" s="180"/>
      <c r="AW232" s="180"/>
      <c r="AX232" s="180"/>
      <c r="AY232" s="180"/>
      <c r="AZ232" s="180"/>
      <c r="BA232" s="180"/>
      <c r="BB232" s="180"/>
      <c r="BC232" s="180"/>
      <c r="BD232" s="180"/>
      <c r="BE232" s="180"/>
      <c r="BF232" s="180"/>
      <c r="BG232" s="180"/>
      <c r="BH232" s="180"/>
      <c r="BI232" s="180"/>
      <c r="BJ232" s="180"/>
      <c r="BK232" s="180"/>
      <c r="BL232" s="180"/>
      <c r="BM232" s="180"/>
      <c r="BN232" s="180"/>
      <c r="BO232" s="180"/>
      <c r="BP232" s="180"/>
      <c r="BQ232" s="180"/>
      <c r="BR232" s="180"/>
      <c r="BS232" s="180"/>
      <c r="BT232" s="180"/>
      <c r="BU232" s="180"/>
      <c r="BV232" s="180"/>
      <c r="BW232" s="180"/>
      <c r="BX232" s="180"/>
      <c r="BY232" s="180"/>
      <c r="BZ232" s="180"/>
      <c r="CA232" s="180"/>
      <c r="CB232" s="180"/>
      <c r="CC232" s="180"/>
      <c r="CD232" s="180"/>
      <c r="CE232" s="180"/>
      <c r="CF232" s="180"/>
      <c r="CG232" s="180"/>
      <c r="CH232" s="180"/>
      <c r="CI232" s="180"/>
      <c r="CJ232" s="180"/>
      <c r="CK232" s="180"/>
      <c r="CL232" s="180"/>
      <c r="CM232" s="180"/>
      <c r="CN232" s="180"/>
      <c r="CO232" s="180"/>
      <c r="CP232" s="180"/>
      <c r="CQ232" s="180"/>
      <c r="CR232" s="180"/>
      <c r="CS232" s="180"/>
      <c r="CT232" s="180"/>
      <c r="CU232" s="180"/>
      <c r="CV232" s="180"/>
      <c r="CW232" s="180"/>
      <c r="CX232" s="180"/>
      <c r="CY232" s="180"/>
      <c r="CZ232" s="180"/>
    </row>
    <row r="233" spans="1:104" x14ac:dyDescent="0.45">
      <c r="A233" s="180" t="s">
        <v>14</v>
      </c>
      <c r="B233" s="73">
        <v>5</v>
      </c>
      <c r="C233" s="73"/>
      <c r="D233" s="180" t="s">
        <v>376</v>
      </c>
      <c r="E233" s="39">
        <v>43595</v>
      </c>
      <c r="F233" s="179">
        <v>0.3659722222222222</v>
      </c>
      <c r="G233" s="180">
        <v>2</v>
      </c>
      <c r="H233" s="180"/>
      <c r="I233" s="180"/>
      <c r="J233" s="180"/>
      <c r="K233" s="180"/>
      <c r="L233" s="180"/>
      <c r="M233" s="180"/>
      <c r="N233" s="180"/>
      <c r="O233" s="180"/>
      <c r="P233" s="180"/>
      <c r="AS233" s="180"/>
      <c r="AT233" s="180"/>
      <c r="AU233" s="180"/>
      <c r="AV233" s="180"/>
      <c r="AW233" s="180"/>
      <c r="AX233" s="180"/>
      <c r="AY233" s="180"/>
      <c r="AZ233" s="180"/>
      <c r="BA233" s="180"/>
      <c r="BB233" s="180"/>
      <c r="BC233" s="180"/>
      <c r="BD233" s="180"/>
      <c r="BE233" s="180"/>
      <c r="BF233" s="180"/>
      <c r="BG233" s="180"/>
      <c r="BH233" s="180"/>
      <c r="BI233" s="180"/>
      <c r="BJ233" s="180"/>
      <c r="BK233" s="180"/>
      <c r="BL233" s="180"/>
      <c r="BM233" s="180"/>
      <c r="BN233" s="180"/>
      <c r="BO233" s="180"/>
      <c r="BP233" s="180"/>
      <c r="BQ233" s="180"/>
      <c r="BR233" s="180"/>
      <c r="BS233" s="180"/>
      <c r="BT233" s="180"/>
      <c r="BU233" s="180"/>
      <c r="BV233" s="180"/>
      <c r="BW233" s="180"/>
      <c r="BX233" s="180"/>
      <c r="BY233" s="180"/>
      <c r="BZ233" s="180"/>
      <c r="CA233" s="180"/>
      <c r="CB233" s="180"/>
      <c r="CC233" s="180"/>
      <c r="CD233" s="180"/>
      <c r="CE233" s="180"/>
      <c r="CF233" s="180"/>
      <c r="CG233" s="180"/>
      <c r="CH233" s="180"/>
      <c r="CI233" s="180"/>
      <c r="CJ233" s="180"/>
      <c r="CK233" s="180"/>
      <c r="CL233" s="180"/>
      <c r="CM233" s="180"/>
      <c r="CN233" s="180"/>
      <c r="CO233" s="180"/>
      <c r="CP233" s="180"/>
      <c r="CQ233" s="180"/>
      <c r="CR233" s="180"/>
      <c r="CS233" s="180"/>
      <c r="CT233" s="180"/>
      <c r="CU233" s="180"/>
      <c r="CV233" s="180"/>
      <c r="CW233" s="180"/>
      <c r="CX233" s="180"/>
      <c r="CY233" s="180"/>
      <c r="CZ233" s="180"/>
    </row>
    <row r="234" spans="1:104" x14ac:dyDescent="0.45">
      <c r="A234" s="180" t="s">
        <v>14</v>
      </c>
      <c r="B234" s="73">
        <v>1</v>
      </c>
      <c r="C234" s="73"/>
      <c r="D234" s="180" t="s">
        <v>296</v>
      </c>
      <c r="E234" s="39">
        <v>43595</v>
      </c>
      <c r="F234" s="179">
        <v>0.6694444444444444</v>
      </c>
      <c r="G234" s="180">
        <v>2</v>
      </c>
      <c r="H234" s="180"/>
      <c r="I234" s="180"/>
      <c r="J234" s="180"/>
      <c r="K234" s="180"/>
      <c r="L234" s="180"/>
      <c r="M234" s="180"/>
      <c r="N234" s="180"/>
      <c r="O234" s="180"/>
      <c r="P234" s="180"/>
      <c r="AS234" s="180"/>
      <c r="AT234" s="180"/>
      <c r="AU234" s="180"/>
      <c r="AV234" s="180"/>
      <c r="AW234" s="180"/>
      <c r="AX234" s="180"/>
      <c r="AY234" s="180"/>
      <c r="AZ234" s="180"/>
      <c r="BA234" s="180"/>
      <c r="BB234" s="180"/>
      <c r="BC234" s="180"/>
      <c r="BD234" s="180"/>
      <c r="BE234" s="180"/>
      <c r="BF234" s="180"/>
      <c r="BG234" s="180"/>
      <c r="BH234" s="180"/>
      <c r="BI234" s="180"/>
      <c r="BJ234" s="180"/>
      <c r="BK234" s="180"/>
      <c r="BL234" s="180"/>
      <c r="BM234" s="180"/>
      <c r="BN234" s="180"/>
      <c r="BO234" s="180"/>
      <c r="BP234" s="180"/>
      <c r="BQ234" s="180"/>
      <c r="BR234" s="180"/>
      <c r="BS234" s="180"/>
      <c r="BT234" s="180"/>
      <c r="BU234" s="180"/>
      <c r="BV234" s="180"/>
      <c r="BW234" s="180"/>
      <c r="BX234" s="180"/>
      <c r="BY234" s="180"/>
      <c r="BZ234" s="180"/>
      <c r="CA234" s="180"/>
      <c r="CB234" s="180"/>
      <c r="CC234" s="180"/>
      <c r="CD234" s="180"/>
      <c r="CE234" s="180"/>
      <c r="CF234" s="180"/>
      <c r="CG234" s="180"/>
      <c r="CH234" s="180"/>
      <c r="CI234" s="180"/>
      <c r="CJ234" s="180"/>
      <c r="CK234" s="180"/>
      <c r="CL234" s="180"/>
      <c r="CM234" s="180"/>
      <c r="CN234" s="180"/>
      <c r="CO234" s="180"/>
      <c r="CP234" s="180"/>
      <c r="CQ234" s="180"/>
      <c r="CR234" s="180"/>
      <c r="CS234" s="180"/>
      <c r="CT234" s="180"/>
      <c r="CU234" s="180"/>
      <c r="CV234" s="180"/>
      <c r="CW234" s="180"/>
      <c r="CX234" s="180"/>
      <c r="CY234" s="180"/>
      <c r="CZ234" s="180"/>
    </row>
    <row r="235" spans="1:104" x14ac:dyDescent="0.45">
      <c r="A235" s="180" t="s">
        <v>14</v>
      </c>
      <c r="B235" s="73">
        <v>1</v>
      </c>
      <c r="C235" s="73"/>
      <c r="D235" s="180" t="s">
        <v>296</v>
      </c>
      <c r="E235" s="39">
        <v>43595</v>
      </c>
      <c r="F235" s="180"/>
      <c r="G235" s="180"/>
      <c r="H235" s="180"/>
      <c r="I235" s="180"/>
      <c r="J235" s="180"/>
      <c r="K235" s="180"/>
      <c r="L235" s="180"/>
      <c r="M235" s="180"/>
      <c r="N235" s="180"/>
      <c r="O235" s="180"/>
      <c r="P235" s="180"/>
      <c r="AS235" s="180"/>
      <c r="AT235" s="180"/>
      <c r="AU235" s="180"/>
      <c r="AV235" s="180"/>
      <c r="AW235" s="180"/>
      <c r="AX235" s="180"/>
      <c r="AY235" s="180"/>
      <c r="AZ235" s="180"/>
      <c r="BA235" s="180"/>
      <c r="BB235" s="180"/>
      <c r="BC235" s="180"/>
      <c r="BD235" s="180"/>
      <c r="BE235" s="180"/>
      <c r="BF235" s="180"/>
      <c r="BG235" s="180"/>
      <c r="BH235" s="180"/>
      <c r="BI235" s="180"/>
      <c r="BJ235" s="180"/>
      <c r="BK235" s="180"/>
      <c r="BL235" s="180"/>
      <c r="BM235" s="180"/>
      <c r="BN235" s="180"/>
      <c r="BO235" s="180"/>
      <c r="BP235" s="180"/>
      <c r="BQ235" s="180"/>
      <c r="BR235" s="180"/>
      <c r="BS235" s="180"/>
      <c r="BT235" s="180"/>
      <c r="BU235" s="180"/>
      <c r="BV235" s="180"/>
      <c r="BW235" s="180"/>
      <c r="BX235" s="180"/>
      <c r="BY235" s="180"/>
      <c r="BZ235" s="180"/>
      <c r="CA235" s="180"/>
      <c r="CB235" s="180"/>
      <c r="CC235" s="180"/>
      <c r="CD235" s="180"/>
      <c r="CE235" s="180"/>
      <c r="CF235" s="180"/>
      <c r="CG235" s="180"/>
      <c r="CH235" s="180"/>
      <c r="CI235" s="180"/>
      <c r="CJ235" s="180"/>
      <c r="CK235" s="180"/>
      <c r="CL235" s="180"/>
      <c r="CM235" s="180"/>
      <c r="CN235" s="180"/>
      <c r="CO235" s="180"/>
      <c r="CP235" s="180"/>
      <c r="CQ235" s="180"/>
      <c r="CR235" s="180"/>
      <c r="CS235" s="180"/>
      <c r="CT235" s="180"/>
      <c r="CU235" s="180"/>
      <c r="CV235" s="180"/>
      <c r="CW235" s="180"/>
      <c r="CX235" s="180"/>
      <c r="CY235" s="180"/>
      <c r="CZ235" s="180"/>
    </row>
    <row r="236" spans="1:104" x14ac:dyDescent="0.45">
      <c r="A236" s="180" t="s">
        <v>14</v>
      </c>
      <c r="B236" s="73">
        <v>15</v>
      </c>
      <c r="C236" s="73">
        <v>15</v>
      </c>
      <c r="D236" s="180" t="s">
        <v>296</v>
      </c>
      <c r="E236" s="39">
        <v>43595</v>
      </c>
      <c r="F236" s="179">
        <v>0.65972222222222221</v>
      </c>
      <c r="G236" s="180">
        <v>7</v>
      </c>
      <c r="H236" s="180"/>
      <c r="I236" s="180"/>
      <c r="J236" s="180"/>
      <c r="K236" s="180"/>
      <c r="L236" s="180"/>
      <c r="M236" s="180"/>
      <c r="N236" s="180"/>
      <c r="O236" s="180"/>
      <c r="P236" s="180"/>
      <c r="AS236" s="180"/>
      <c r="AT236" s="180"/>
      <c r="AU236" s="180"/>
      <c r="AV236" s="180"/>
      <c r="AW236" s="180"/>
      <c r="AX236" s="180"/>
      <c r="AY236" s="180"/>
      <c r="AZ236" s="180"/>
      <c r="BA236" s="180"/>
      <c r="BB236" s="180"/>
      <c r="BC236" s="180"/>
      <c r="BD236" s="180"/>
      <c r="BE236" s="180"/>
      <c r="BF236" s="180"/>
      <c r="BG236" s="180"/>
      <c r="BH236" s="180"/>
      <c r="BI236" s="180"/>
      <c r="BJ236" s="180"/>
      <c r="BK236" s="180"/>
      <c r="BL236" s="180"/>
      <c r="BM236" s="180"/>
      <c r="BN236" s="180"/>
      <c r="BO236" s="180"/>
      <c r="BP236" s="180"/>
      <c r="BQ236" s="180"/>
      <c r="BR236" s="180"/>
      <c r="BS236" s="180"/>
      <c r="BT236" s="180"/>
      <c r="BU236" s="180"/>
      <c r="BV236" s="180"/>
      <c r="BW236" s="180"/>
      <c r="BX236" s="180"/>
      <c r="BY236" s="180"/>
      <c r="BZ236" s="180"/>
      <c r="CA236" s="180"/>
      <c r="CB236" s="180"/>
      <c r="CC236" s="180"/>
      <c r="CD236" s="180"/>
      <c r="CE236" s="180"/>
      <c r="CF236" s="180"/>
      <c r="CG236" s="180"/>
      <c r="CH236" s="180"/>
      <c r="CI236" s="180"/>
      <c r="CJ236" s="180"/>
      <c r="CK236" s="180"/>
      <c r="CL236" s="180"/>
      <c r="CM236" s="180"/>
      <c r="CN236" s="180"/>
      <c r="CO236" s="180"/>
      <c r="CP236" s="180"/>
      <c r="CQ236" s="180"/>
      <c r="CR236" s="180"/>
      <c r="CS236" s="180"/>
      <c r="CT236" s="180"/>
      <c r="CU236" s="180"/>
      <c r="CV236" s="180"/>
      <c r="CW236" s="180"/>
      <c r="CX236" s="180"/>
      <c r="CY236" s="180"/>
      <c r="CZ236" s="180"/>
    </row>
    <row r="237" spans="1:104" x14ac:dyDescent="0.45">
      <c r="A237" s="180" t="s">
        <v>14</v>
      </c>
      <c r="B237" s="73">
        <v>2</v>
      </c>
      <c r="C237" s="73"/>
      <c r="D237" s="180" t="s">
        <v>296</v>
      </c>
      <c r="E237" s="39">
        <v>43595</v>
      </c>
      <c r="F237" s="179">
        <v>0.76874999999999993</v>
      </c>
      <c r="G237" s="180">
        <v>1</v>
      </c>
      <c r="H237" s="180"/>
      <c r="I237" s="180"/>
      <c r="J237" s="180"/>
      <c r="K237" s="180"/>
      <c r="L237" s="180"/>
      <c r="M237" s="180"/>
      <c r="N237" s="180"/>
      <c r="O237" s="180"/>
      <c r="P237" s="180"/>
      <c r="AS237" s="180"/>
      <c r="AT237" s="180"/>
      <c r="AU237" s="180"/>
      <c r="AV237" s="180"/>
      <c r="AW237" s="180"/>
      <c r="AX237" s="180"/>
      <c r="AY237" s="180"/>
      <c r="AZ237" s="180"/>
      <c r="BA237" s="180"/>
      <c r="BB237" s="180"/>
      <c r="BC237" s="180"/>
      <c r="BD237" s="180"/>
      <c r="BE237" s="180"/>
      <c r="BF237" s="180"/>
      <c r="BG237" s="180"/>
      <c r="BH237" s="180"/>
      <c r="BI237" s="180"/>
      <c r="BJ237" s="180"/>
      <c r="BK237" s="180"/>
      <c r="BL237" s="180"/>
      <c r="BM237" s="180"/>
      <c r="BN237" s="180"/>
      <c r="BO237" s="180"/>
      <c r="BP237" s="180"/>
      <c r="BQ237" s="180"/>
      <c r="BR237" s="180"/>
      <c r="BS237" s="180"/>
      <c r="BT237" s="180"/>
      <c r="BU237" s="180"/>
      <c r="BV237" s="180"/>
      <c r="BW237" s="180"/>
      <c r="BX237" s="180"/>
      <c r="BY237" s="180"/>
      <c r="BZ237" s="180"/>
      <c r="CA237" s="180"/>
      <c r="CB237" s="180"/>
      <c r="CC237" s="180"/>
      <c r="CD237" s="180"/>
      <c r="CE237" s="180"/>
      <c r="CF237" s="180"/>
      <c r="CG237" s="180"/>
      <c r="CH237" s="180"/>
      <c r="CI237" s="180"/>
      <c r="CJ237" s="180"/>
      <c r="CK237" s="180"/>
      <c r="CL237" s="180"/>
      <c r="CM237" s="180"/>
      <c r="CN237" s="180"/>
      <c r="CO237" s="180"/>
      <c r="CP237" s="180"/>
      <c r="CQ237" s="180"/>
      <c r="CR237" s="180"/>
      <c r="CS237" s="180"/>
      <c r="CT237" s="180"/>
      <c r="CU237" s="180"/>
      <c r="CV237" s="180"/>
      <c r="CW237" s="180"/>
      <c r="CX237" s="180"/>
      <c r="CY237" s="180"/>
      <c r="CZ237" s="180"/>
    </row>
    <row r="238" spans="1:104" x14ac:dyDescent="0.45">
      <c r="A238" s="180" t="s">
        <v>14</v>
      </c>
      <c r="B238" s="73">
        <v>2</v>
      </c>
      <c r="C238" s="73"/>
      <c r="D238" s="180" t="s">
        <v>296</v>
      </c>
      <c r="E238" s="39">
        <v>43595</v>
      </c>
      <c r="F238" s="179">
        <v>0.7715277777777777</v>
      </c>
      <c r="G238" s="180">
        <v>6</v>
      </c>
      <c r="H238" s="180"/>
      <c r="I238" s="180"/>
      <c r="J238" s="180"/>
      <c r="K238" s="180"/>
      <c r="L238" s="180"/>
      <c r="M238" s="180"/>
      <c r="N238" s="180"/>
      <c r="O238" s="180"/>
      <c r="P238" s="180"/>
      <c r="AS238" s="180"/>
      <c r="AT238" s="180"/>
      <c r="AU238" s="180"/>
      <c r="AV238" s="180"/>
      <c r="AW238" s="180"/>
      <c r="AX238" s="180"/>
      <c r="AY238" s="180"/>
      <c r="AZ238" s="180"/>
      <c r="BA238" s="180"/>
      <c r="BB238" s="180"/>
      <c r="BC238" s="180"/>
      <c r="BD238" s="180"/>
      <c r="BE238" s="180"/>
      <c r="BF238" s="180"/>
      <c r="BG238" s="180"/>
      <c r="BH238" s="180"/>
      <c r="BI238" s="180"/>
      <c r="BJ238" s="180"/>
      <c r="BK238" s="180"/>
      <c r="BL238" s="180"/>
      <c r="BM238" s="180"/>
      <c r="BN238" s="180"/>
      <c r="BO238" s="180"/>
      <c r="BP238" s="180"/>
      <c r="BQ238" s="180"/>
      <c r="BR238" s="180"/>
      <c r="BS238" s="180"/>
      <c r="BT238" s="180"/>
      <c r="BU238" s="180"/>
      <c r="BV238" s="180"/>
      <c r="BW238" s="180"/>
      <c r="BX238" s="180"/>
      <c r="BY238" s="180"/>
      <c r="BZ238" s="180"/>
      <c r="CA238" s="180"/>
      <c r="CB238" s="180"/>
      <c r="CC238" s="180"/>
      <c r="CD238" s="180"/>
      <c r="CE238" s="180"/>
      <c r="CF238" s="180"/>
      <c r="CG238" s="180"/>
      <c r="CH238" s="180"/>
      <c r="CI238" s="180"/>
      <c r="CJ238" s="180"/>
      <c r="CK238" s="180"/>
      <c r="CL238" s="180"/>
      <c r="CM238" s="180"/>
      <c r="CN238" s="180"/>
      <c r="CO238" s="180"/>
      <c r="CP238" s="180"/>
      <c r="CQ238" s="180"/>
      <c r="CR238" s="180"/>
      <c r="CS238" s="180"/>
      <c r="CT238" s="180"/>
      <c r="CU238" s="180"/>
      <c r="CV238" s="180"/>
      <c r="CW238" s="180"/>
      <c r="CX238" s="180"/>
      <c r="CY238" s="180"/>
      <c r="CZ238" s="180"/>
    </row>
    <row r="239" spans="1:104" x14ac:dyDescent="0.45">
      <c r="A239" s="180" t="s">
        <v>14</v>
      </c>
      <c r="B239" s="73">
        <v>5</v>
      </c>
      <c r="C239" s="73"/>
      <c r="D239" s="180" t="s">
        <v>271</v>
      </c>
      <c r="E239" s="39">
        <v>43595</v>
      </c>
      <c r="F239" s="180"/>
      <c r="G239" s="180"/>
      <c r="H239" s="180"/>
      <c r="I239" s="180"/>
      <c r="J239" s="180"/>
      <c r="K239" s="180"/>
      <c r="L239" s="180"/>
      <c r="M239" s="180"/>
      <c r="N239" s="180"/>
      <c r="O239" s="180"/>
      <c r="P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0"/>
      <c r="BR239" s="180"/>
      <c r="BS239" s="180"/>
      <c r="BT239" s="180"/>
      <c r="BU239" s="180"/>
      <c r="BV239" s="180"/>
      <c r="BW239" s="180"/>
      <c r="BX239" s="180"/>
      <c r="BY239" s="180"/>
      <c r="BZ239" s="180"/>
      <c r="CA239" s="180"/>
      <c r="CB239" s="180"/>
      <c r="CC239" s="180"/>
      <c r="CD239" s="180"/>
      <c r="CE239" s="180"/>
      <c r="CF239" s="180"/>
      <c r="CG239" s="180"/>
      <c r="CH239" s="180"/>
      <c r="CI239" s="180"/>
      <c r="CJ239" s="180"/>
      <c r="CK239" s="180"/>
      <c r="CL239" s="180"/>
      <c r="CM239" s="180"/>
      <c r="CN239" s="180"/>
      <c r="CO239" s="180"/>
      <c r="CP239" s="180"/>
      <c r="CQ239" s="180"/>
      <c r="CR239" s="180"/>
      <c r="CS239" s="180"/>
      <c r="CT239" s="180"/>
      <c r="CU239" s="180"/>
      <c r="CV239" s="180"/>
      <c r="CW239" s="180"/>
      <c r="CX239" s="180"/>
      <c r="CY239" s="180"/>
      <c r="CZ239" s="180"/>
    </row>
    <row r="240" spans="1:104" x14ac:dyDescent="0.45">
      <c r="A240" s="180" t="s">
        <v>14</v>
      </c>
      <c r="B240" s="73">
        <v>10</v>
      </c>
      <c r="C240" s="73">
        <v>10</v>
      </c>
      <c r="D240" s="180" t="s">
        <v>271</v>
      </c>
      <c r="E240" s="39">
        <v>43595</v>
      </c>
      <c r="F240" s="179">
        <v>0.625</v>
      </c>
      <c r="G240" s="180">
        <v>1</v>
      </c>
      <c r="H240" s="180"/>
      <c r="I240" s="180"/>
      <c r="J240" s="180"/>
      <c r="K240" s="180"/>
      <c r="L240" s="180"/>
      <c r="M240" s="180"/>
      <c r="N240" s="180"/>
      <c r="O240" s="180"/>
      <c r="P240" s="180"/>
      <c r="AS240" s="180"/>
      <c r="AT240" s="180"/>
      <c r="AU240" s="180"/>
      <c r="AV240" s="180"/>
      <c r="AW240" s="180"/>
      <c r="AX240" s="180"/>
      <c r="AY240" s="180"/>
      <c r="AZ240" s="180"/>
      <c r="BA240" s="180"/>
      <c r="BB240" s="180"/>
      <c r="BC240" s="180"/>
      <c r="BD240" s="180"/>
      <c r="BE240" s="180"/>
      <c r="BF240" s="180"/>
      <c r="BG240" s="180"/>
      <c r="BH240" s="180"/>
      <c r="BI240" s="180"/>
      <c r="BJ240" s="180"/>
      <c r="BK240" s="180"/>
      <c r="BL240" s="180"/>
      <c r="BM240" s="180"/>
      <c r="BN240" s="180"/>
      <c r="BO240" s="180"/>
      <c r="BP240" s="180"/>
      <c r="BQ240" s="180"/>
      <c r="BR240" s="180"/>
      <c r="BS240" s="180"/>
      <c r="BT240" s="180"/>
      <c r="BU240" s="180"/>
      <c r="BV240" s="180"/>
      <c r="BW240" s="180"/>
      <c r="BX240" s="180"/>
      <c r="BY240" s="180"/>
      <c r="BZ240" s="180"/>
      <c r="CA240" s="180"/>
      <c r="CB240" s="180"/>
      <c r="CC240" s="180"/>
      <c r="CD240" s="180"/>
      <c r="CE240" s="180"/>
      <c r="CF240" s="180"/>
      <c r="CG240" s="180"/>
      <c r="CH240" s="180"/>
      <c r="CI240" s="180"/>
      <c r="CJ240" s="180"/>
      <c r="CK240" s="180"/>
      <c r="CL240" s="180"/>
      <c r="CM240" s="180"/>
      <c r="CN240" s="180"/>
      <c r="CO240" s="180"/>
      <c r="CP240" s="180"/>
      <c r="CQ240" s="180"/>
      <c r="CR240" s="180"/>
      <c r="CS240" s="180"/>
      <c r="CT240" s="180"/>
      <c r="CU240" s="180"/>
      <c r="CV240" s="180"/>
      <c r="CW240" s="180"/>
      <c r="CX240" s="180"/>
      <c r="CY240" s="180"/>
      <c r="CZ240" s="180"/>
    </row>
    <row r="241" spans="1:104" x14ac:dyDescent="0.45">
      <c r="A241" s="180" t="s">
        <v>14</v>
      </c>
      <c r="B241" s="73">
        <v>1</v>
      </c>
      <c r="C241" s="73"/>
      <c r="D241" s="180" t="s">
        <v>379</v>
      </c>
      <c r="E241" s="39">
        <v>43596</v>
      </c>
      <c r="F241" s="179">
        <v>0.5</v>
      </c>
      <c r="G241" s="180">
        <v>2</v>
      </c>
      <c r="H241" s="180"/>
      <c r="I241" s="180"/>
      <c r="J241" s="180"/>
      <c r="K241" s="180"/>
      <c r="L241" s="180"/>
      <c r="M241" s="180"/>
      <c r="N241" s="180"/>
      <c r="O241" s="180"/>
      <c r="P241" s="180"/>
      <c r="AS241" s="180"/>
      <c r="AT241" s="180"/>
      <c r="AU241" s="180"/>
      <c r="AV241" s="180"/>
      <c r="AW241" s="180"/>
      <c r="AX241" s="180"/>
      <c r="AY241" s="180"/>
      <c r="AZ241" s="180"/>
      <c r="BA241" s="180"/>
      <c r="BB241" s="180"/>
      <c r="BC241" s="180"/>
      <c r="BD241" s="180"/>
      <c r="BE241" s="180"/>
      <c r="BF241" s="180"/>
      <c r="BG241" s="180"/>
      <c r="BH241" s="180"/>
      <c r="BI241" s="180"/>
      <c r="BJ241" s="180"/>
      <c r="BK241" s="180"/>
      <c r="BL241" s="180"/>
      <c r="BM241" s="180"/>
      <c r="BN241" s="180"/>
      <c r="BO241" s="180"/>
      <c r="BP241" s="180"/>
      <c r="BQ241" s="180"/>
      <c r="BR241" s="180"/>
      <c r="BS241" s="180"/>
      <c r="BT241" s="180"/>
      <c r="BU241" s="180"/>
      <c r="BV241" s="180"/>
      <c r="BW241" s="180"/>
      <c r="BX241" s="180"/>
      <c r="BY241" s="180"/>
      <c r="BZ241" s="180"/>
      <c r="CA241" s="180"/>
      <c r="CB241" s="180"/>
      <c r="CC241" s="180"/>
      <c r="CD241" s="180"/>
      <c r="CE241" s="180"/>
      <c r="CF241" s="180"/>
      <c r="CG241" s="180"/>
      <c r="CH241" s="180"/>
      <c r="CI241" s="180"/>
      <c r="CJ241" s="180"/>
      <c r="CK241" s="180"/>
      <c r="CL241" s="180"/>
      <c r="CM241" s="180"/>
      <c r="CN241" s="180"/>
      <c r="CO241" s="180"/>
      <c r="CP241" s="180"/>
      <c r="CQ241" s="180"/>
      <c r="CR241" s="180"/>
      <c r="CS241" s="180"/>
      <c r="CT241" s="180"/>
      <c r="CU241" s="180"/>
      <c r="CV241" s="180"/>
      <c r="CW241" s="180"/>
      <c r="CX241" s="180"/>
      <c r="CY241" s="180"/>
      <c r="CZ241" s="180"/>
    </row>
    <row r="242" spans="1:104" x14ac:dyDescent="0.45">
      <c r="A242" s="180" t="s">
        <v>14</v>
      </c>
      <c r="B242" s="73">
        <v>3</v>
      </c>
      <c r="C242" s="73">
        <v>3</v>
      </c>
      <c r="D242" s="180" t="s">
        <v>380</v>
      </c>
      <c r="E242" s="39">
        <v>43596</v>
      </c>
      <c r="F242" s="179">
        <v>0.64027777777777783</v>
      </c>
      <c r="G242" s="180">
        <v>1</v>
      </c>
      <c r="H242" s="180"/>
      <c r="I242" s="180" t="s">
        <v>381</v>
      </c>
      <c r="J242" s="180"/>
      <c r="K242" s="180"/>
      <c r="L242" s="180"/>
      <c r="M242" s="180"/>
      <c r="N242" s="180"/>
      <c r="O242" s="180"/>
      <c r="P242" s="180"/>
      <c r="AS242" s="180"/>
      <c r="AT242" s="180"/>
      <c r="AU242" s="180"/>
      <c r="AV242" s="180"/>
      <c r="AW242" s="180"/>
      <c r="AX242" s="180"/>
      <c r="AY242" s="180"/>
      <c r="AZ242" s="180"/>
      <c r="BA242" s="180"/>
      <c r="BB242" s="180"/>
      <c r="BC242" s="180"/>
      <c r="BD242" s="180"/>
      <c r="BE242" s="180"/>
      <c r="BF242" s="180"/>
      <c r="BG242" s="180"/>
      <c r="BH242" s="180"/>
      <c r="BI242" s="180"/>
      <c r="BJ242" s="180"/>
      <c r="BK242" s="180"/>
      <c r="BL242" s="180"/>
      <c r="BM242" s="180"/>
      <c r="BN242" s="180"/>
      <c r="BO242" s="180"/>
      <c r="BP242" s="180"/>
      <c r="BQ242" s="180"/>
      <c r="BR242" s="180"/>
      <c r="BS242" s="180"/>
      <c r="BT242" s="180"/>
      <c r="BU242" s="180"/>
      <c r="BV242" s="180"/>
      <c r="BW242" s="180"/>
      <c r="BX242" s="180"/>
      <c r="BY242" s="180"/>
      <c r="BZ242" s="180"/>
      <c r="CA242" s="180"/>
      <c r="CB242" s="180"/>
      <c r="CC242" s="180"/>
      <c r="CD242" s="180"/>
      <c r="CE242" s="180"/>
      <c r="CF242" s="180"/>
      <c r="CG242" s="180"/>
      <c r="CH242" s="180"/>
      <c r="CI242" s="180"/>
      <c r="CJ242" s="180"/>
      <c r="CK242" s="180"/>
      <c r="CL242" s="180"/>
      <c r="CM242" s="180"/>
      <c r="CN242" s="180"/>
      <c r="CO242" s="180"/>
      <c r="CP242" s="180"/>
      <c r="CQ242" s="180"/>
      <c r="CR242" s="180"/>
      <c r="CS242" s="180"/>
      <c r="CT242" s="180"/>
      <c r="CU242" s="180"/>
      <c r="CV242" s="180"/>
      <c r="CW242" s="180"/>
      <c r="CX242" s="180"/>
      <c r="CY242" s="180"/>
      <c r="CZ242" s="180"/>
    </row>
    <row r="243" spans="1:104" x14ac:dyDescent="0.45">
      <c r="A243" s="180" t="s">
        <v>14</v>
      </c>
      <c r="B243" s="73">
        <v>3</v>
      </c>
      <c r="C243" s="73"/>
      <c r="D243" s="180" t="s">
        <v>380</v>
      </c>
      <c r="E243" s="39">
        <v>43596</v>
      </c>
      <c r="F243" s="179">
        <v>0.64027777777777783</v>
      </c>
      <c r="G243" s="180">
        <v>1</v>
      </c>
      <c r="H243" s="180"/>
      <c r="I243" s="180"/>
      <c r="J243" s="180"/>
      <c r="K243" s="180"/>
      <c r="L243" s="180"/>
      <c r="M243" s="180"/>
      <c r="N243" s="180"/>
      <c r="O243" s="180"/>
      <c r="P243" s="180"/>
      <c r="AS243" s="180"/>
      <c r="AT243" s="180"/>
      <c r="AU243" s="180"/>
      <c r="AV243" s="180"/>
      <c r="AW243" s="180"/>
      <c r="AX243" s="180"/>
      <c r="AY243" s="180"/>
      <c r="AZ243" s="180"/>
      <c r="BA243" s="180"/>
      <c r="BB243" s="180"/>
      <c r="BC243" s="180"/>
      <c r="BD243" s="180"/>
      <c r="BE243" s="180"/>
      <c r="BF243" s="180"/>
      <c r="BG243" s="180"/>
      <c r="BH243" s="180"/>
      <c r="BI243" s="180"/>
      <c r="BJ243" s="180"/>
      <c r="BK243" s="180"/>
      <c r="BL243" s="180"/>
      <c r="BM243" s="180"/>
      <c r="BN243" s="180"/>
      <c r="BO243" s="180"/>
      <c r="BP243" s="180"/>
      <c r="BQ243" s="180"/>
      <c r="BR243" s="180"/>
      <c r="BS243" s="180"/>
      <c r="BT243" s="180"/>
      <c r="BU243" s="180"/>
      <c r="BV243" s="180"/>
      <c r="BW243" s="180"/>
      <c r="BX243" s="180"/>
      <c r="BY243" s="180"/>
      <c r="BZ243" s="180"/>
      <c r="CA243" s="180"/>
      <c r="CB243" s="180"/>
      <c r="CC243" s="180"/>
      <c r="CD243" s="180"/>
      <c r="CE243" s="180"/>
      <c r="CF243" s="180"/>
      <c r="CG243" s="180"/>
      <c r="CH243" s="180"/>
      <c r="CI243" s="180"/>
      <c r="CJ243" s="180"/>
      <c r="CK243" s="180"/>
      <c r="CL243" s="180"/>
      <c r="CM243" s="180"/>
      <c r="CN243" s="180"/>
      <c r="CO243" s="180"/>
      <c r="CP243" s="180"/>
      <c r="CQ243" s="180"/>
      <c r="CR243" s="180"/>
      <c r="CS243" s="180"/>
      <c r="CT243" s="180"/>
      <c r="CU243" s="180"/>
      <c r="CV243" s="180"/>
      <c r="CW243" s="180"/>
      <c r="CX243" s="180"/>
      <c r="CY243" s="180"/>
      <c r="CZ243" s="180"/>
    </row>
    <row r="244" spans="1:104" x14ac:dyDescent="0.45">
      <c r="A244" s="180" t="s">
        <v>14</v>
      </c>
      <c r="B244" s="73">
        <v>5</v>
      </c>
      <c r="C244" s="73"/>
      <c r="D244" s="180" t="s">
        <v>378</v>
      </c>
      <c r="E244" s="39">
        <v>43596</v>
      </c>
      <c r="F244" s="179">
        <v>0.82500000000000007</v>
      </c>
      <c r="G244" s="180">
        <v>1</v>
      </c>
      <c r="H244" s="180"/>
      <c r="I244" s="180" t="s">
        <v>382</v>
      </c>
      <c r="J244" s="180"/>
      <c r="K244" s="180"/>
      <c r="L244" s="180"/>
      <c r="M244" s="180"/>
      <c r="N244" s="180"/>
      <c r="O244" s="180"/>
      <c r="P244" s="180"/>
      <c r="AS244" s="180"/>
      <c r="AT244" s="180"/>
      <c r="AU244" s="180"/>
      <c r="AV244" s="180"/>
      <c r="AW244" s="180"/>
      <c r="AX244" s="180"/>
      <c r="AY244" s="180"/>
      <c r="AZ244" s="180"/>
      <c r="BA244" s="180"/>
      <c r="BB244" s="180"/>
      <c r="BC244" s="180"/>
      <c r="BD244" s="180"/>
      <c r="BE244" s="180"/>
      <c r="BF244" s="180"/>
      <c r="BG244" s="180"/>
      <c r="BH244" s="180"/>
      <c r="BI244" s="180"/>
      <c r="BJ244" s="180"/>
      <c r="BK244" s="180"/>
      <c r="BL244" s="180"/>
      <c r="BM244" s="180"/>
      <c r="BN244" s="180"/>
      <c r="BO244" s="180"/>
      <c r="BP244" s="180"/>
      <c r="BQ244" s="180"/>
      <c r="BR244" s="180"/>
      <c r="BS244" s="180"/>
      <c r="BT244" s="180"/>
      <c r="BU244" s="180"/>
      <c r="BV244" s="180"/>
      <c r="BW244" s="180"/>
      <c r="BX244" s="180"/>
      <c r="BY244" s="180"/>
      <c r="BZ244" s="180"/>
      <c r="CA244" s="180"/>
      <c r="CB244" s="180"/>
      <c r="CC244" s="180"/>
      <c r="CD244" s="180"/>
      <c r="CE244" s="180"/>
      <c r="CF244" s="180"/>
      <c r="CG244" s="180"/>
      <c r="CH244" s="180"/>
      <c r="CI244" s="180"/>
      <c r="CJ244" s="180"/>
      <c r="CK244" s="180"/>
      <c r="CL244" s="180"/>
      <c r="CM244" s="180"/>
      <c r="CN244" s="180"/>
      <c r="CO244" s="180"/>
      <c r="CP244" s="180"/>
      <c r="CQ244" s="180"/>
      <c r="CR244" s="180"/>
      <c r="CS244" s="180"/>
      <c r="CT244" s="180"/>
      <c r="CU244" s="180"/>
      <c r="CV244" s="180"/>
      <c r="CW244" s="180"/>
      <c r="CX244" s="180"/>
      <c r="CY244" s="180"/>
      <c r="CZ244" s="180"/>
    </row>
    <row r="245" spans="1:104" x14ac:dyDescent="0.45">
      <c r="A245" s="180" t="s">
        <v>14</v>
      </c>
      <c r="B245" s="73">
        <v>3</v>
      </c>
      <c r="C245" s="73"/>
      <c r="D245" s="180" t="s">
        <v>378</v>
      </c>
      <c r="E245" s="39">
        <v>43596</v>
      </c>
      <c r="F245" s="179">
        <v>0.27499999999999997</v>
      </c>
      <c r="G245" s="180">
        <v>4</v>
      </c>
      <c r="H245" s="180" t="s">
        <v>383</v>
      </c>
      <c r="I245" s="180"/>
      <c r="J245" s="180"/>
      <c r="K245" s="180"/>
      <c r="L245" s="180"/>
      <c r="M245" s="180"/>
      <c r="N245" s="180"/>
      <c r="O245" s="180"/>
      <c r="P245" s="180"/>
      <c r="AS245" s="180"/>
      <c r="AT245" s="180"/>
      <c r="AU245" s="180"/>
      <c r="AV245" s="180"/>
      <c r="AW245" s="180"/>
      <c r="AX245" s="180"/>
      <c r="AY245" s="180"/>
      <c r="AZ245" s="180"/>
      <c r="BA245" s="180"/>
      <c r="BB245" s="180"/>
      <c r="BC245" s="180"/>
      <c r="BD245" s="180"/>
      <c r="BE245" s="180"/>
      <c r="BF245" s="180"/>
      <c r="BG245" s="180"/>
      <c r="BH245" s="180"/>
      <c r="BI245" s="180"/>
      <c r="BJ245" s="180"/>
      <c r="BK245" s="180"/>
      <c r="BL245" s="180"/>
      <c r="BM245" s="180"/>
      <c r="BN245" s="180"/>
      <c r="BO245" s="180"/>
      <c r="BP245" s="180"/>
      <c r="BQ245" s="180"/>
      <c r="BR245" s="180"/>
      <c r="BS245" s="180"/>
      <c r="BT245" s="180"/>
      <c r="BU245" s="180"/>
      <c r="BV245" s="180"/>
      <c r="BW245" s="180"/>
      <c r="BX245" s="180"/>
      <c r="BY245" s="180"/>
      <c r="BZ245" s="180"/>
      <c r="CA245" s="180"/>
      <c r="CB245" s="180"/>
      <c r="CC245" s="180"/>
      <c r="CD245" s="180"/>
      <c r="CE245" s="180"/>
      <c r="CF245" s="180"/>
      <c r="CG245" s="180"/>
      <c r="CH245" s="180"/>
      <c r="CI245" s="180"/>
      <c r="CJ245" s="180"/>
      <c r="CK245" s="180"/>
      <c r="CL245" s="180"/>
      <c r="CM245" s="180"/>
      <c r="CN245" s="180"/>
      <c r="CO245" s="180"/>
      <c r="CP245" s="180"/>
      <c r="CQ245" s="180"/>
      <c r="CR245" s="180"/>
      <c r="CS245" s="180"/>
      <c r="CT245" s="180"/>
      <c r="CU245" s="180"/>
      <c r="CV245" s="180"/>
      <c r="CW245" s="180"/>
      <c r="CX245" s="180"/>
      <c r="CY245" s="180"/>
      <c r="CZ245" s="180"/>
    </row>
    <row r="246" spans="1:104" x14ac:dyDescent="0.45">
      <c r="A246" s="180" t="s">
        <v>14</v>
      </c>
      <c r="B246" s="73">
        <v>5</v>
      </c>
      <c r="C246" s="73"/>
      <c r="D246" s="180" t="s">
        <v>378</v>
      </c>
      <c r="E246" s="39">
        <v>43596</v>
      </c>
      <c r="F246" s="179">
        <v>0.82500000000000007</v>
      </c>
      <c r="G246" s="180">
        <v>1</v>
      </c>
      <c r="H246" s="180"/>
      <c r="I246" s="180"/>
      <c r="J246" s="180"/>
      <c r="K246" s="180"/>
      <c r="L246" s="180"/>
      <c r="M246" s="180"/>
      <c r="N246" s="180"/>
      <c r="O246" s="180"/>
      <c r="P246" s="180"/>
      <c r="AS246" s="180"/>
      <c r="AT246" s="180"/>
      <c r="AU246" s="180"/>
      <c r="AV246" s="180"/>
      <c r="AW246" s="180"/>
      <c r="AX246" s="180"/>
      <c r="AY246" s="180"/>
      <c r="AZ246" s="180"/>
      <c r="BA246" s="180"/>
      <c r="BB246" s="180"/>
      <c r="BC246" s="180"/>
      <c r="BD246" s="180"/>
      <c r="BE246" s="180"/>
      <c r="BF246" s="180"/>
      <c r="BG246" s="180"/>
      <c r="BH246" s="180"/>
      <c r="BI246" s="180"/>
      <c r="BJ246" s="180"/>
      <c r="BK246" s="180"/>
      <c r="BL246" s="180"/>
      <c r="BM246" s="180"/>
      <c r="BN246" s="180"/>
      <c r="BO246" s="180"/>
      <c r="BP246" s="180"/>
      <c r="BQ246" s="180"/>
      <c r="BR246" s="180"/>
      <c r="BS246" s="180"/>
      <c r="BT246" s="180"/>
      <c r="BU246" s="180"/>
      <c r="BV246" s="180"/>
      <c r="BW246" s="180"/>
      <c r="BX246" s="180"/>
      <c r="BY246" s="180"/>
      <c r="BZ246" s="180"/>
      <c r="CA246" s="180"/>
      <c r="CB246" s="180"/>
      <c r="CC246" s="180"/>
      <c r="CD246" s="180"/>
      <c r="CE246" s="180"/>
      <c r="CF246" s="180"/>
      <c r="CG246" s="180"/>
      <c r="CH246" s="180"/>
      <c r="CI246" s="180"/>
      <c r="CJ246" s="180"/>
      <c r="CK246" s="180"/>
      <c r="CL246" s="180"/>
      <c r="CM246" s="180"/>
      <c r="CN246" s="180"/>
      <c r="CO246" s="180"/>
      <c r="CP246" s="180"/>
      <c r="CQ246" s="180"/>
      <c r="CR246" s="180"/>
      <c r="CS246" s="180"/>
      <c r="CT246" s="180"/>
      <c r="CU246" s="180"/>
      <c r="CV246" s="180"/>
      <c r="CW246" s="180"/>
      <c r="CX246" s="180"/>
      <c r="CY246" s="180"/>
      <c r="CZ246" s="180"/>
    </row>
    <row r="247" spans="1:104" x14ac:dyDescent="0.45">
      <c r="A247" s="180" t="s">
        <v>14</v>
      </c>
      <c r="B247" s="73">
        <v>25</v>
      </c>
      <c r="C247" s="73"/>
      <c r="D247" s="180" t="s">
        <v>384</v>
      </c>
      <c r="E247" s="39">
        <v>43596</v>
      </c>
      <c r="F247" s="179">
        <v>0.37847222222222227</v>
      </c>
      <c r="G247" s="180">
        <v>1</v>
      </c>
      <c r="H247" s="180"/>
      <c r="I247" s="180"/>
      <c r="J247" s="180"/>
      <c r="K247" s="180"/>
      <c r="L247" s="180"/>
      <c r="M247" s="180"/>
      <c r="N247" s="180"/>
      <c r="O247" s="180"/>
      <c r="P247" s="180"/>
      <c r="AS247" s="180"/>
      <c r="AT247" s="180"/>
      <c r="AU247" s="180"/>
      <c r="AV247" s="180"/>
      <c r="AW247" s="180"/>
      <c r="AX247" s="180"/>
      <c r="AY247" s="180"/>
      <c r="AZ247" s="180"/>
      <c r="BA247" s="180"/>
      <c r="BB247" s="180"/>
      <c r="BC247" s="180"/>
      <c r="BD247" s="180"/>
      <c r="BE247" s="180"/>
      <c r="BF247" s="180"/>
      <c r="BG247" s="180"/>
      <c r="BH247" s="180"/>
      <c r="BI247" s="180"/>
      <c r="BJ247" s="180"/>
      <c r="BK247" s="180"/>
      <c r="BL247" s="180"/>
      <c r="BM247" s="180"/>
      <c r="BN247" s="180"/>
      <c r="BO247" s="180"/>
      <c r="BP247" s="180"/>
      <c r="BQ247" s="180"/>
      <c r="BR247" s="180"/>
      <c r="BS247" s="180"/>
      <c r="BT247" s="180"/>
      <c r="BU247" s="180"/>
      <c r="BV247" s="180"/>
      <c r="BW247" s="180"/>
      <c r="BX247" s="180"/>
      <c r="BY247" s="180"/>
      <c r="BZ247" s="180"/>
      <c r="CA247" s="180"/>
      <c r="CB247" s="180"/>
      <c r="CC247" s="180"/>
      <c r="CD247" s="180"/>
      <c r="CE247" s="180"/>
      <c r="CF247" s="180"/>
      <c r="CG247" s="180"/>
      <c r="CH247" s="180"/>
      <c r="CI247" s="180"/>
      <c r="CJ247" s="180"/>
      <c r="CK247" s="180"/>
      <c r="CL247" s="180"/>
      <c r="CM247" s="180"/>
      <c r="CN247" s="180"/>
      <c r="CO247" s="180"/>
      <c r="CP247" s="180"/>
      <c r="CQ247" s="180"/>
      <c r="CR247" s="180"/>
      <c r="CS247" s="180"/>
      <c r="CT247" s="180"/>
      <c r="CU247" s="180"/>
      <c r="CV247" s="180"/>
      <c r="CW247" s="180"/>
      <c r="CX247" s="180"/>
      <c r="CY247" s="180"/>
      <c r="CZ247" s="180"/>
    </row>
    <row r="248" spans="1:104" x14ac:dyDescent="0.45">
      <c r="A248" s="180" t="s">
        <v>14</v>
      </c>
      <c r="B248" s="73">
        <v>25</v>
      </c>
      <c r="C248" s="73"/>
      <c r="D248" s="180" t="s">
        <v>384</v>
      </c>
      <c r="E248" s="39">
        <v>43596</v>
      </c>
      <c r="F248" s="179">
        <v>0.37847222222222227</v>
      </c>
      <c r="G248" s="180">
        <v>1</v>
      </c>
      <c r="H248" s="180"/>
      <c r="I248" s="180"/>
      <c r="J248" s="180"/>
      <c r="K248" s="180"/>
      <c r="L248" s="180"/>
      <c r="M248" s="180"/>
      <c r="N248" s="180"/>
      <c r="O248" s="180"/>
      <c r="P248" s="180"/>
      <c r="AS248" s="180"/>
      <c r="AT248" s="180"/>
      <c r="AU248" s="180"/>
      <c r="AV248" s="180"/>
      <c r="AW248" s="180"/>
      <c r="AX248" s="180"/>
      <c r="AY248" s="180"/>
      <c r="AZ248" s="180"/>
      <c r="BA248" s="180"/>
      <c r="BB248" s="180"/>
      <c r="BC248" s="180"/>
      <c r="BD248" s="180"/>
      <c r="BE248" s="180"/>
      <c r="BF248" s="180"/>
      <c r="BG248" s="180"/>
      <c r="BH248" s="180"/>
      <c r="BI248" s="180"/>
      <c r="BJ248" s="180"/>
      <c r="BK248" s="180"/>
      <c r="BL248" s="180"/>
      <c r="BM248" s="180"/>
      <c r="BN248" s="180"/>
      <c r="BO248" s="180"/>
      <c r="BP248" s="180"/>
      <c r="BQ248" s="180"/>
      <c r="BR248" s="180"/>
      <c r="BS248" s="180"/>
      <c r="BT248" s="180"/>
      <c r="BU248" s="180"/>
      <c r="BV248" s="180"/>
      <c r="BW248" s="180"/>
      <c r="BX248" s="180"/>
      <c r="BY248" s="180"/>
      <c r="BZ248" s="180"/>
      <c r="CA248" s="180"/>
      <c r="CB248" s="180"/>
      <c r="CC248" s="180"/>
      <c r="CD248" s="180"/>
      <c r="CE248" s="180"/>
      <c r="CF248" s="180"/>
      <c r="CG248" s="180"/>
      <c r="CH248" s="180"/>
      <c r="CI248" s="180"/>
      <c r="CJ248" s="180"/>
      <c r="CK248" s="180"/>
      <c r="CL248" s="180"/>
      <c r="CM248" s="180"/>
      <c r="CN248" s="180"/>
      <c r="CO248" s="180"/>
      <c r="CP248" s="180"/>
      <c r="CQ248" s="180"/>
      <c r="CR248" s="180"/>
      <c r="CS248" s="180"/>
      <c r="CT248" s="180"/>
      <c r="CU248" s="180"/>
      <c r="CV248" s="180"/>
      <c r="CW248" s="180"/>
      <c r="CX248" s="180"/>
      <c r="CY248" s="180"/>
      <c r="CZ248" s="180"/>
    </row>
    <row r="249" spans="1:104" x14ac:dyDescent="0.45">
      <c r="A249" s="180" t="s">
        <v>14</v>
      </c>
      <c r="B249" s="73">
        <v>3</v>
      </c>
      <c r="C249" s="73"/>
      <c r="D249" s="180" t="s">
        <v>367</v>
      </c>
      <c r="E249" s="39">
        <v>43596</v>
      </c>
      <c r="F249" s="179">
        <v>0.42083333333333334</v>
      </c>
      <c r="G249" s="180">
        <v>1</v>
      </c>
      <c r="H249" s="180"/>
      <c r="I249" s="180"/>
      <c r="J249" s="180"/>
      <c r="K249" s="180"/>
      <c r="L249" s="180"/>
      <c r="M249" s="180"/>
      <c r="N249" s="180"/>
      <c r="O249" s="180"/>
      <c r="P249" s="180"/>
      <c r="AS249" s="180"/>
      <c r="AT249" s="180"/>
      <c r="AU249" s="180"/>
      <c r="AV249" s="180"/>
      <c r="AW249" s="180"/>
      <c r="AX249" s="180"/>
      <c r="AY249" s="180"/>
      <c r="AZ249" s="180"/>
      <c r="BA249" s="180"/>
      <c r="BB249" s="180"/>
      <c r="BC249" s="180"/>
      <c r="BD249" s="180"/>
      <c r="BE249" s="180"/>
      <c r="BF249" s="180"/>
      <c r="BG249" s="180"/>
      <c r="BH249" s="180"/>
      <c r="BI249" s="180"/>
      <c r="BJ249" s="180"/>
      <c r="BK249" s="180"/>
      <c r="BL249" s="180"/>
      <c r="BM249" s="180"/>
      <c r="BN249" s="180"/>
      <c r="BO249" s="180"/>
      <c r="BP249" s="180"/>
      <c r="BQ249" s="180"/>
      <c r="BR249" s="180"/>
      <c r="BS249" s="180"/>
      <c r="BT249" s="180"/>
      <c r="BU249" s="180"/>
      <c r="BV249" s="180"/>
      <c r="BW249" s="180"/>
      <c r="BX249" s="180"/>
      <c r="BY249" s="180"/>
      <c r="BZ249" s="180"/>
      <c r="CA249" s="180"/>
      <c r="CB249" s="180"/>
      <c r="CC249" s="180"/>
      <c r="CD249" s="180"/>
      <c r="CE249" s="180"/>
      <c r="CF249" s="180"/>
      <c r="CG249" s="180"/>
      <c r="CH249" s="180"/>
      <c r="CI249" s="180"/>
      <c r="CJ249" s="180"/>
      <c r="CK249" s="180"/>
      <c r="CL249" s="180"/>
      <c r="CM249" s="180"/>
      <c r="CN249" s="180"/>
      <c r="CO249" s="180"/>
      <c r="CP249" s="180"/>
      <c r="CQ249" s="180"/>
      <c r="CR249" s="180"/>
      <c r="CS249" s="180"/>
      <c r="CT249" s="180"/>
      <c r="CU249" s="180"/>
      <c r="CV249" s="180"/>
      <c r="CW249" s="180"/>
      <c r="CX249" s="180"/>
      <c r="CY249" s="180"/>
      <c r="CZ249" s="180"/>
    </row>
    <row r="250" spans="1:104" x14ac:dyDescent="0.45">
      <c r="A250" s="180" t="s">
        <v>14</v>
      </c>
      <c r="B250" s="73">
        <v>25</v>
      </c>
      <c r="C250" s="73">
        <v>25</v>
      </c>
      <c r="D250" s="180" t="s">
        <v>332</v>
      </c>
      <c r="E250" s="39">
        <v>43596</v>
      </c>
      <c r="F250" s="179">
        <v>0.64097222222222217</v>
      </c>
      <c r="G250" s="180">
        <v>22</v>
      </c>
      <c r="H250" s="180"/>
      <c r="I250" s="180"/>
      <c r="J250" s="180"/>
      <c r="K250" s="180"/>
      <c r="L250" s="180"/>
      <c r="M250" s="180"/>
      <c r="N250" s="180"/>
      <c r="O250" s="180"/>
      <c r="P250" s="180"/>
      <c r="AS250" s="180"/>
      <c r="AT250" s="180"/>
      <c r="AU250" s="180"/>
      <c r="AV250" s="180"/>
      <c r="AW250" s="180"/>
      <c r="AX250" s="180"/>
      <c r="AY250" s="180"/>
      <c r="AZ250" s="180"/>
      <c r="BA250" s="180"/>
      <c r="BB250" s="180"/>
      <c r="BC250" s="180"/>
      <c r="BD250" s="180"/>
      <c r="BE250" s="180"/>
      <c r="BF250" s="180"/>
      <c r="BG250" s="180"/>
      <c r="BH250" s="180"/>
      <c r="BI250" s="180"/>
      <c r="BJ250" s="180"/>
      <c r="BK250" s="180"/>
      <c r="BL250" s="180"/>
      <c r="BM250" s="180"/>
      <c r="BN250" s="180"/>
      <c r="BO250" s="180"/>
      <c r="BP250" s="180"/>
      <c r="BQ250" s="180"/>
      <c r="BR250" s="180"/>
      <c r="BS250" s="180"/>
      <c r="BT250" s="180"/>
      <c r="BU250" s="180"/>
      <c r="BV250" s="180"/>
      <c r="BW250" s="180"/>
      <c r="BX250" s="180"/>
      <c r="BY250" s="180"/>
      <c r="BZ250" s="180"/>
      <c r="CA250" s="180"/>
      <c r="CB250" s="180"/>
      <c r="CC250" s="180"/>
      <c r="CD250" s="180"/>
      <c r="CE250" s="180"/>
      <c r="CF250" s="180"/>
      <c r="CG250" s="180"/>
      <c r="CH250" s="180"/>
      <c r="CI250" s="180"/>
      <c r="CJ250" s="180"/>
      <c r="CK250" s="180"/>
      <c r="CL250" s="180"/>
      <c r="CM250" s="180"/>
      <c r="CN250" s="180"/>
      <c r="CO250" s="180"/>
      <c r="CP250" s="180"/>
      <c r="CQ250" s="180"/>
      <c r="CR250" s="180"/>
      <c r="CS250" s="180"/>
      <c r="CT250" s="180"/>
      <c r="CU250" s="180"/>
      <c r="CV250" s="180"/>
      <c r="CW250" s="180"/>
      <c r="CX250" s="180"/>
      <c r="CY250" s="180"/>
      <c r="CZ250" s="180"/>
    </row>
    <row r="251" spans="1:104" x14ac:dyDescent="0.45">
      <c r="A251" s="180" t="s">
        <v>14</v>
      </c>
      <c r="B251" s="73">
        <v>10</v>
      </c>
      <c r="C251" s="73"/>
      <c r="D251" s="180" t="s">
        <v>332</v>
      </c>
      <c r="E251" s="39">
        <v>43596</v>
      </c>
      <c r="F251" s="179">
        <v>0.32777777777777778</v>
      </c>
      <c r="G251" s="180">
        <v>4</v>
      </c>
      <c r="H251" s="180"/>
      <c r="I251" s="180"/>
      <c r="J251" s="180"/>
      <c r="K251" s="180"/>
      <c r="L251" s="180"/>
      <c r="M251" s="180"/>
      <c r="N251" s="180"/>
      <c r="O251" s="180"/>
      <c r="P251" s="180"/>
      <c r="AS251" s="180"/>
      <c r="AT251" s="180"/>
      <c r="AU251" s="180"/>
      <c r="AV251" s="180"/>
      <c r="AW251" s="180"/>
      <c r="AX251" s="180"/>
      <c r="AY251" s="180"/>
      <c r="AZ251" s="180"/>
      <c r="BA251" s="180"/>
      <c r="BB251" s="180"/>
      <c r="BC251" s="180"/>
      <c r="BD251" s="180"/>
      <c r="BE251" s="180"/>
      <c r="BF251" s="180"/>
      <c r="BG251" s="180"/>
      <c r="BH251" s="180"/>
      <c r="BI251" s="180"/>
      <c r="BJ251" s="180"/>
      <c r="BK251" s="180"/>
      <c r="BL251" s="180"/>
      <c r="BM251" s="180"/>
      <c r="BN251" s="180"/>
      <c r="BO251" s="180"/>
      <c r="BP251" s="180"/>
      <c r="BQ251" s="180"/>
      <c r="BR251" s="180"/>
      <c r="BS251" s="180"/>
      <c r="BT251" s="180"/>
      <c r="BU251" s="180"/>
      <c r="BV251" s="180"/>
      <c r="BW251" s="180"/>
      <c r="BX251" s="180"/>
      <c r="BY251" s="180"/>
      <c r="BZ251" s="180"/>
      <c r="CA251" s="180"/>
      <c r="CB251" s="180"/>
      <c r="CC251" s="180"/>
      <c r="CD251" s="180"/>
      <c r="CE251" s="180"/>
      <c r="CF251" s="180"/>
      <c r="CG251" s="180"/>
      <c r="CH251" s="180"/>
      <c r="CI251" s="180"/>
      <c r="CJ251" s="180"/>
      <c r="CK251" s="180"/>
      <c r="CL251" s="180"/>
      <c r="CM251" s="180"/>
      <c r="CN251" s="180"/>
      <c r="CO251" s="180"/>
      <c r="CP251" s="180"/>
      <c r="CQ251" s="180"/>
      <c r="CR251" s="180"/>
      <c r="CS251" s="180"/>
      <c r="CT251" s="180"/>
      <c r="CU251" s="180"/>
      <c r="CV251" s="180"/>
      <c r="CW251" s="180"/>
      <c r="CX251" s="180"/>
      <c r="CY251" s="180"/>
      <c r="CZ251" s="180"/>
    </row>
    <row r="252" spans="1:104" x14ac:dyDescent="0.45">
      <c r="A252" s="180" t="s">
        <v>14</v>
      </c>
      <c r="B252" s="73">
        <v>10</v>
      </c>
      <c r="C252" s="73"/>
      <c r="D252" s="180" t="s">
        <v>332</v>
      </c>
      <c r="E252" s="39">
        <v>43596</v>
      </c>
      <c r="F252" s="179">
        <v>0.32777777777777778</v>
      </c>
      <c r="G252" s="180">
        <v>4</v>
      </c>
      <c r="H252" s="180"/>
      <c r="I252" s="180"/>
      <c r="J252" s="180"/>
      <c r="K252" s="180"/>
      <c r="L252" s="180"/>
      <c r="M252" s="180"/>
      <c r="N252" s="180"/>
      <c r="O252" s="180"/>
      <c r="P252" s="180"/>
      <c r="AS252" s="180"/>
      <c r="AT252" s="180"/>
      <c r="AU252" s="180"/>
      <c r="AV252" s="180"/>
      <c r="AW252" s="180"/>
      <c r="AX252" s="180"/>
      <c r="AY252" s="180"/>
      <c r="AZ252" s="180"/>
      <c r="BA252" s="180"/>
      <c r="BB252" s="180"/>
      <c r="BC252" s="180"/>
      <c r="BD252" s="180"/>
      <c r="BE252" s="180"/>
      <c r="BF252" s="180"/>
      <c r="BG252" s="180"/>
      <c r="BH252" s="180"/>
      <c r="BI252" s="180"/>
      <c r="BJ252" s="180"/>
      <c r="BK252" s="180"/>
      <c r="BL252" s="180"/>
      <c r="BM252" s="180"/>
      <c r="BN252" s="180"/>
      <c r="BO252" s="180"/>
      <c r="BP252" s="180"/>
      <c r="BQ252" s="180"/>
      <c r="BR252" s="180"/>
      <c r="BS252" s="180"/>
      <c r="BT252" s="180"/>
      <c r="BU252" s="180"/>
      <c r="BV252" s="180"/>
      <c r="BW252" s="180"/>
      <c r="BX252" s="180"/>
      <c r="BY252" s="180"/>
      <c r="BZ252" s="180"/>
      <c r="CA252" s="180"/>
      <c r="CB252" s="180"/>
      <c r="CC252" s="180"/>
      <c r="CD252" s="180"/>
      <c r="CE252" s="180"/>
      <c r="CF252" s="180"/>
      <c r="CG252" s="180"/>
      <c r="CH252" s="180"/>
      <c r="CI252" s="180"/>
      <c r="CJ252" s="180"/>
      <c r="CK252" s="180"/>
      <c r="CL252" s="180"/>
      <c r="CM252" s="180"/>
      <c r="CN252" s="180"/>
      <c r="CO252" s="180"/>
      <c r="CP252" s="180"/>
      <c r="CQ252" s="180"/>
      <c r="CR252" s="180"/>
      <c r="CS252" s="180"/>
      <c r="CT252" s="180"/>
      <c r="CU252" s="180"/>
      <c r="CV252" s="180"/>
      <c r="CW252" s="180"/>
      <c r="CX252" s="180"/>
      <c r="CY252" s="180"/>
      <c r="CZ252" s="180"/>
    </row>
    <row r="253" spans="1:104" x14ac:dyDescent="0.45">
      <c r="A253" s="180" t="s">
        <v>14</v>
      </c>
      <c r="B253" s="73">
        <v>27</v>
      </c>
      <c r="C253" s="73">
        <v>27</v>
      </c>
      <c r="D253" s="180" t="s">
        <v>311</v>
      </c>
      <c r="E253" s="39">
        <v>43596</v>
      </c>
      <c r="F253" s="179">
        <v>0.57500000000000007</v>
      </c>
      <c r="G253" s="180">
        <v>22</v>
      </c>
      <c r="H253" s="180" t="s">
        <v>385</v>
      </c>
      <c r="I253" s="180"/>
      <c r="J253" s="180"/>
      <c r="K253" s="180"/>
      <c r="L253" s="180"/>
      <c r="M253" s="180"/>
      <c r="N253" s="180"/>
      <c r="O253" s="180"/>
      <c r="P253" s="180"/>
      <c r="AS253" s="180"/>
      <c r="AT253" s="180"/>
      <c r="AU253" s="180"/>
      <c r="AV253" s="180"/>
      <c r="AW253" s="180"/>
      <c r="AX253" s="180"/>
      <c r="AY253" s="180"/>
      <c r="AZ253" s="180"/>
      <c r="BA253" s="180"/>
      <c r="BB253" s="180"/>
      <c r="BC253" s="180"/>
      <c r="BD253" s="180"/>
      <c r="BE253" s="180"/>
      <c r="BF253" s="180"/>
      <c r="BG253" s="180"/>
      <c r="BH253" s="180"/>
      <c r="BI253" s="180"/>
      <c r="BJ253" s="180"/>
      <c r="BK253" s="180"/>
      <c r="BL253" s="180"/>
      <c r="BM253" s="180"/>
      <c r="BN253" s="180"/>
      <c r="BO253" s="180"/>
      <c r="BP253" s="180"/>
      <c r="BQ253" s="180"/>
      <c r="BR253" s="180"/>
      <c r="BS253" s="180"/>
      <c r="BT253" s="180"/>
      <c r="BU253" s="180"/>
      <c r="BV253" s="180"/>
      <c r="BW253" s="180"/>
      <c r="BX253" s="180"/>
      <c r="BY253" s="180"/>
      <c r="BZ253" s="180"/>
      <c r="CA253" s="180"/>
      <c r="CB253" s="180"/>
      <c r="CC253" s="180"/>
      <c r="CD253" s="180"/>
      <c r="CE253" s="180"/>
      <c r="CF253" s="180"/>
      <c r="CG253" s="180"/>
      <c r="CH253" s="180"/>
      <c r="CI253" s="180"/>
      <c r="CJ253" s="180"/>
      <c r="CK253" s="180"/>
      <c r="CL253" s="180"/>
      <c r="CM253" s="180"/>
      <c r="CN253" s="180"/>
      <c r="CO253" s="180"/>
      <c r="CP253" s="180"/>
      <c r="CQ253" s="180"/>
      <c r="CR253" s="180"/>
      <c r="CS253" s="180"/>
      <c r="CT253" s="180"/>
      <c r="CU253" s="180"/>
      <c r="CV253" s="180"/>
      <c r="CW253" s="180"/>
      <c r="CX253" s="180"/>
      <c r="CY253" s="180"/>
      <c r="CZ253" s="180"/>
    </row>
    <row r="254" spans="1:104" x14ac:dyDescent="0.45">
      <c r="A254" s="180" t="s">
        <v>14</v>
      </c>
      <c r="B254" s="73">
        <v>40</v>
      </c>
      <c r="C254" s="73"/>
      <c r="D254" s="180" t="s">
        <v>309</v>
      </c>
      <c r="E254" s="39">
        <v>43596</v>
      </c>
      <c r="F254" s="179">
        <v>0.29166666666666669</v>
      </c>
      <c r="G254" s="180">
        <v>20</v>
      </c>
      <c r="H254" s="180" t="s">
        <v>363</v>
      </c>
      <c r="I254" s="180" t="s">
        <v>386</v>
      </c>
      <c r="J254" s="180"/>
      <c r="K254" s="180"/>
      <c r="L254" s="180"/>
      <c r="M254" s="180"/>
      <c r="N254" s="180"/>
      <c r="O254" s="180"/>
      <c r="P254" s="180"/>
      <c r="AS254" s="180"/>
      <c r="AT254" s="180"/>
      <c r="AU254" s="180"/>
      <c r="AV254" s="180"/>
      <c r="AW254" s="180"/>
      <c r="AX254" s="180"/>
      <c r="AY254" s="180"/>
      <c r="AZ254" s="180"/>
      <c r="BA254" s="180"/>
      <c r="BB254" s="180"/>
      <c r="BC254" s="180"/>
      <c r="BD254" s="180"/>
      <c r="BE254" s="180"/>
      <c r="BF254" s="180"/>
      <c r="BG254" s="180"/>
      <c r="BH254" s="180"/>
      <c r="BI254" s="180"/>
      <c r="BJ254" s="180"/>
      <c r="BK254" s="180"/>
      <c r="BL254" s="180"/>
      <c r="BM254" s="180"/>
      <c r="BN254" s="180"/>
      <c r="BO254" s="180"/>
      <c r="BP254" s="180"/>
      <c r="BQ254" s="180"/>
      <c r="BR254" s="180"/>
      <c r="BS254" s="180"/>
      <c r="BT254" s="180"/>
      <c r="BU254" s="180"/>
      <c r="BV254" s="180"/>
      <c r="BW254" s="180"/>
      <c r="BX254" s="180"/>
      <c r="BY254" s="180"/>
      <c r="BZ254" s="180"/>
      <c r="CA254" s="180"/>
      <c r="CB254" s="180"/>
      <c r="CC254" s="180"/>
      <c r="CD254" s="180"/>
      <c r="CE254" s="180"/>
      <c r="CF254" s="180"/>
      <c r="CG254" s="180"/>
      <c r="CH254" s="180"/>
      <c r="CI254" s="180"/>
      <c r="CJ254" s="180"/>
      <c r="CK254" s="180"/>
      <c r="CL254" s="180"/>
      <c r="CM254" s="180"/>
      <c r="CN254" s="180"/>
      <c r="CO254" s="180"/>
      <c r="CP254" s="180"/>
      <c r="CQ254" s="180"/>
      <c r="CR254" s="180"/>
      <c r="CS254" s="180"/>
      <c r="CT254" s="180"/>
      <c r="CU254" s="180"/>
      <c r="CV254" s="180"/>
      <c r="CW254" s="180"/>
      <c r="CX254" s="180"/>
      <c r="CY254" s="180"/>
      <c r="CZ254" s="180"/>
    </row>
    <row r="255" spans="1:104" x14ac:dyDescent="0.45">
      <c r="A255" s="180" t="s">
        <v>14</v>
      </c>
      <c r="B255" s="73">
        <v>20</v>
      </c>
      <c r="C255" s="73"/>
      <c r="D255" s="180" t="s">
        <v>309</v>
      </c>
      <c r="E255" s="39">
        <v>43596</v>
      </c>
      <c r="F255" s="179">
        <v>0.28611111111111115</v>
      </c>
      <c r="G255" s="180">
        <v>13</v>
      </c>
      <c r="H255" s="180"/>
      <c r="I255" s="180"/>
      <c r="J255" s="180"/>
      <c r="K255" s="180"/>
      <c r="L255" s="180"/>
      <c r="M255" s="180"/>
      <c r="N255" s="180"/>
      <c r="O255" s="180"/>
      <c r="P255" s="180"/>
      <c r="AS255" s="180"/>
      <c r="AT255" s="180"/>
      <c r="AU255" s="180"/>
      <c r="AV255" s="180"/>
      <c r="AW255" s="180"/>
      <c r="AX255" s="180"/>
      <c r="AY255" s="180"/>
      <c r="AZ255" s="180"/>
      <c r="BA255" s="180"/>
      <c r="BB255" s="180"/>
      <c r="BC255" s="180"/>
      <c r="BD255" s="180"/>
      <c r="BE255" s="180"/>
      <c r="BF255" s="180"/>
      <c r="BG255" s="180"/>
      <c r="BH255" s="180"/>
      <c r="BI255" s="180"/>
      <c r="BJ255" s="180"/>
      <c r="BK255" s="180"/>
      <c r="BL255" s="180"/>
      <c r="BM255" s="180"/>
      <c r="BN255" s="180"/>
      <c r="BO255" s="180"/>
      <c r="BP255" s="180"/>
      <c r="BQ255" s="180"/>
      <c r="BR255" s="180"/>
      <c r="BS255" s="180"/>
      <c r="BT255" s="180"/>
      <c r="BU255" s="180"/>
      <c r="BV255" s="180"/>
      <c r="BW255" s="180"/>
      <c r="BX255" s="180"/>
      <c r="BY255" s="180"/>
      <c r="BZ255" s="180"/>
      <c r="CA255" s="180"/>
      <c r="CB255" s="180"/>
      <c r="CC255" s="180"/>
      <c r="CD255" s="180"/>
      <c r="CE255" s="180"/>
      <c r="CF255" s="180"/>
      <c r="CG255" s="180"/>
      <c r="CH255" s="180"/>
      <c r="CI255" s="180"/>
      <c r="CJ255" s="180"/>
      <c r="CK255" s="180"/>
      <c r="CL255" s="180"/>
      <c r="CM255" s="180"/>
      <c r="CN255" s="180"/>
      <c r="CO255" s="180"/>
      <c r="CP255" s="180"/>
      <c r="CQ255" s="180"/>
      <c r="CR255" s="180"/>
      <c r="CS255" s="180"/>
      <c r="CT255" s="180"/>
      <c r="CU255" s="180"/>
      <c r="CV255" s="180"/>
      <c r="CW255" s="180"/>
      <c r="CX255" s="180"/>
      <c r="CY255" s="180"/>
      <c r="CZ255" s="180"/>
    </row>
    <row r="256" spans="1:104" x14ac:dyDescent="0.45">
      <c r="A256" s="180" t="s">
        <v>14</v>
      </c>
      <c r="B256" s="73">
        <v>1</v>
      </c>
      <c r="C256" s="73"/>
      <c r="D256" s="180" t="s">
        <v>309</v>
      </c>
      <c r="E256" s="39">
        <v>43596</v>
      </c>
      <c r="F256" s="179">
        <v>0.375</v>
      </c>
      <c r="G256" s="180">
        <v>2</v>
      </c>
      <c r="H256" s="180"/>
      <c r="I256" s="180"/>
      <c r="J256" s="180"/>
      <c r="K256" s="180"/>
      <c r="L256" s="180"/>
      <c r="M256" s="180"/>
      <c r="N256" s="180"/>
      <c r="O256" s="180"/>
      <c r="P256" s="180"/>
      <c r="AS256" s="180"/>
      <c r="AT256" s="180"/>
      <c r="AU256" s="180"/>
      <c r="AV256" s="180"/>
      <c r="AW256" s="180"/>
      <c r="AX256" s="180"/>
      <c r="AY256" s="180"/>
      <c r="AZ256" s="180"/>
      <c r="BA256" s="180"/>
      <c r="BB256" s="180"/>
      <c r="BC256" s="180"/>
      <c r="BD256" s="180"/>
      <c r="BE256" s="180"/>
      <c r="BF256" s="180"/>
      <c r="BG256" s="180"/>
      <c r="BH256" s="180"/>
      <c r="BI256" s="180"/>
      <c r="BJ256" s="180"/>
      <c r="BK256" s="180"/>
      <c r="BL256" s="180"/>
      <c r="BM256" s="180"/>
      <c r="BN256" s="180"/>
      <c r="BO256" s="180"/>
      <c r="BP256" s="180"/>
      <c r="BQ256" s="180"/>
      <c r="BR256" s="180"/>
      <c r="BS256" s="180"/>
      <c r="BT256" s="180"/>
      <c r="BU256" s="180"/>
      <c r="BV256" s="180"/>
      <c r="BW256" s="180"/>
      <c r="BX256" s="180"/>
      <c r="BY256" s="180"/>
      <c r="BZ256" s="180"/>
      <c r="CA256" s="180"/>
      <c r="CB256" s="180"/>
      <c r="CC256" s="180"/>
      <c r="CD256" s="180"/>
      <c r="CE256" s="180"/>
      <c r="CF256" s="180"/>
      <c r="CG256" s="180"/>
      <c r="CH256" s="180"/>
      <c r="CI256" s="180"/>
      <c r="CJ256" s="180"/>
      <c r="CK256" s="180"/>
      <c r="CL256" s="180"/>
      <c r="CM256" s="180"/>
      <c r="CN256" s="180"/>
      <c r="CO256" s="180"/>
      <c r="CP256" s="180"/>
      <c r="CQ256" s="180"/>
      <c r="CR256" s="180"/>
      <c r="CS256" s="180"/>
      <c r="CT256" s="180"/>
      <c r="CU256" s="180"/>
      <c r="CV256" s="180"/>
      <c r="CW256" s="180"/>
      <c r="CX256" s="180"/>
      <c r="CY256" s="180"/>
      <c r="CZ256" s="180"/>
    </row>
    <row r="257" spans="1:104" x14ac:dyDescent="0.45">
      <c r="A257" s="180" t="s">
        <v>14</v>
      </c>
      <c r="B257" s="73">
        <v>40</v>
      </c>
      <c r="C257" s="73"/>
      <c r="D257" s="180" t="s">
        <v>309</v>
      </c>
      <c r="E257" s="39">
        <v>43596</v>
      </c>
      <c r="F257" s="179">
        <v>0.32291666666666669</v>
      </c>
      <c r="G257" s="180">
        <v>1</v>
      </c>
      <c r="H257" s="180" t="s">
        <v>364</v>
      </c>
      <c r="I257" s="180"/>
      <c r="J257" s="180"/>
      <c r="K257" s="180"/>
      <c r="L257" s="180"/>
      <c r="M257" s="180"/>
      <c r="N257" s="180"/>
      <c r="O257" s="180"/>
      <c r="P257" s="180"/>
      <c r="AS257" s="180"/>
      <c r="AT257" s="180"/>
      <c r="AU257" s="180"/>
      <c r="AV257" s="180"/>
      <c r="AW257" s="180"/>
      <c r="AX257" s="180"/>
      <c r="AY257" s="180"/>
      <c r="AZ257" s="180"/>
      <c r="BA257" s="180"/>
      <c r="BB257" s="180"/>
      <c r="BC257" s="180"/>
      <c r="BD257" s="180"/>
      <c r="BE257" s="180"/>
      <c r="BF257" s="180"/>
      <c r="BG257" s="180"/>
      <c r="BH257" s="180"/>
      <c r="BI257" s="180"/>
      <c r="BJ257" s="180"/>
      <c r="BK257" s="180"/>
      <c r="BL257" s="180"/>
      <c r="BM257" s="180"/>
      <c r="BN257" s="180"/>
      <c r="BO257" s="180"/>
      <c r="BP257" s="180"/>
      <c r="BQ257" s="180"/>
      <c r="BR257" s="180"/>
      <c r="BS257" s="180"/>
      <c r="BT257" s="180"/>
      <c r="BU257" s="180"/>
      <c r="BV257" s="180"/>
      <c r="BW257" s="180"/>
      <c r="BX257" s="180"/>
      <c r="BY257" s="180"/>
      <c r="BZ257" s="180"/>
      <c r="CA257" s="180"/>
      <c r="CB257" s="180"/>
      <c r="CC257" s="180"/>
      <c r="CD257" s="180"/>
      <c r="CE257" s="180"/>
      <c r="CF257" s="180"/>
      <c r="CG257" s="180"/>
      <c r="CH257" s="180"/>
      <c r="CI257" s="180"/>
      <c r="CJ257" s="180"/>
      <c r="CK257" s="180"/>
      <c r="CL257" s="180"/>
      <c r="CM257" s="180"/>
      <c r="CN257" s="180"/>
      <c r="CO257" s="180"/>
      <c r="CP257" s="180"/>
      <c r="CQ257" s="180"/>
      <c r="CR257" s="180"/>
      <c r="CS257" s="180"/>
      <c r="CT257" s="180"/>
      <c r="CU257" s="180"/>
      <c r="CV257" s="180"/>
      <c r="CW257" s="180"/>
      <c r="CX257" s="180"/>
      <c r="CY257" s="180"/>
      <c r="CZ257" s="180"/>
    </row>
    <row r="258" spans="1:104" x14ac:dyDescent="0.45">
      <c r="A258" s="180" t="s">
        <v>14</v>
      </c>
      <c r="B258" s="73">
        <v>150</v>
      </c>
      <c r="C258" s="73"/>
      <c r="D258" s="180" t="s">
        <v>309</v>
      </c>
      <c r="E258" s="39">
        <v>43596</v>
      </c>
      <c r="F258" s="179">
        <v>0.3347222222222222</v>
      </c>
      <c r="G258" s="180">
        <v>1</v>
      </c>
      <c r="H258" s="180"/>
      <c r="I258" s="180"/>
      <c r="J258" s="180"/>
      <c r="K258" s="180"/>
      <c r="L258" s="180"/>
      <c r="M258" s="180"/>
      <c r="N258" s="180"/>
      <c r="O258" s="180"/>
      <c r="P258" s="180"/>
      <c r="AS258" s="180"/>
      <c r="AT258" s="180"/>
      <c r="AU258" s="180"/>
      <c r="AV258" s="180"/>
      <c r="AW258" s="180"/>
      <c r="AX258" s="180"/>
      <c r="AY258" s="180"/>
      <c r="AZ258" s="180"/>
      <c r="BA258" s="180"/>
      <c r="BB258" s="180"/>
      <c r="BC258" s="180"/>
      <c r="BD258" s="180"/>
      <c r="BE258" s="180"/>
      <c r="BF258" s="180"/>
      <c r="BG258" s="180"/>
      <c r="BH258" s="180"/>
      <c r="BI258" s="180"/>
      <c r="BJ258" s="180"/>
      <c r="BK258" s="180"/>
      <c r="BL258" s="180"/>
      <c r="BM258" s="180"/>
      <c r="BN258" s="180"/>
      <c r="BO258" s="180"/>
      <c r="BP258" s="180"/>
      <c r="BQ258" s="180"/>
      <c r="BR258" s="180"/>
      <c r="BS258" s="180"/>
      <c r="BT258" s="180"/>
      <c r="BU258" s="180"/>
      <c r="BV258" s="180"/>
      <c r="BW258" s="180"/>
      <c r="BX258" s="180"/>
      <c r="BY258" s="180"/>
      <c r="BZ258" s="180"/>
      <c r="CA258" s="180"/>
      <c r="CB258" s="180"/>
      <c r="CC258" s="180"/>
      <c r="CD258" s="180"/>
      <c r="CE258" s="180"/>
      <c r="CF258" s="180"/>
      <c r="CG258" s="180"/>
      <c r="CH258" s="180"/>
      <c r="CI258" s="180"/>
      <c r="CJ258" s="180"/>
      <c r="CK258" s="180"/>
      <c r="CL258" s="180"/>
      <c r="CM258" s="180"/>
      <c r="CN258" s="180"/>
      <c r="CO258" s="180"/>
      <c r="CP258" s="180"/>
      <c r="CQ258" s="180"/>
      <c r="CR258" s="180"/>
      <c r="CS258" s="180"/>
      <c r="CT258" s="180"/>
      <c r="CU258" s="180"/>
      <c r="CV258" s="180"/>
      <c r="CW258" s="180"/>
      <c r="CX258" s="180"/>
      <c r="CY258" s="180"/>
      <c r="CZ258" s="180"/>
    </row>
    <row r="259" spans="1:104" x14ac:dyDescent="0.45">
      <c r="A259" s="180" t="s">
        <v>14</v>
      </c>
      <c r="B259" s="73">
        <v>50</v>
      </c>
      <c r="C259" s="73"/>
      <c r="D259" s="180" t="s">
        <v>309</v>
      </c>
      <c r="E259" s="39">
        <v>43596</v>
      </c>
      <c r="F259" s="179">
        <v>0.29444444444444445</v>
      </c>
      <c r="G259" s="180">
        <v>1</v>
      </c>
      <c r="H259" s="180" t="s">
        <v>362</v>
      </c>
      <c r="I259" s="180"/>
      <c r="J259" s="180"/>
      <c r="K259" s="180"/>
      <c r="L259" s="180"/>
      <c r="M259" s="180"/>
      <c r="N259" s="180"/>
      <c r="O259" s="180"/>
      <c r="P259" s="180"/>
      <c r="AS259" s="180"/>
      <c r="AT259" s="180"/>
      <c r="AU259" s="180"/>
      <c r="AV259" s="180"/>
      <c r="AW259" s="180"/>
      <c r="AX259" s="180"/>
      <c r="AY259" s="180"/>
      <c r="AZ259" s="180"/>
      <c r="BA259" s="180"/>
      <c r="BB259" s="180"/>
      <c r="BC259" s="180"/>
      <c r="BD259" s="180"/>
      <c r="BE259" s="180"/>
      <c r="BF259" s="180"/>
      <c r="BG259" s="180"/>
      <c r="BH259" s="180"/>
      <c r="BI259" s="180"/>
      <c r="BJ259" s="180"/>
      <c r="BK259" s="180"/>
      <c r="BL259" s="180"/>
      <c r="BM259" s="180"/>
      <c r="BN259" s="180"/>
      <c r="BO259" s="180"/>
      <c r="BP259" s="180"/>
      <c r="BQ259" s="180"/>
      <c r="BR259" s="180"/>
      <c r="BS259" s="180"/>
      <c r="BT259" s="180"/>
      <c r="BU259" s="180"/>
      <c r="BV259" s="180"/>
      <c r="BW259" s="180"/>
      <c r="BX259" s="180"/>
      <c r="BY259" s="180"/>
      <c r="BZ259" s="180"/>
      <c r="CA259" s="180"/>
      <c r="CB259" s="180"/>
      <c r="CC259" s="180"/>
      <c r="CD259" s="180"/>
      <c r="CE259" s="180"/>
      <c r="CF259" s="180"/>
      <c r="CG259" s="180"/>
      <c r="CH259" s="180"/>
      <c r="CI259" s="180"/>
      <c r="CJ259" s="180"/>
      <c r="CK259" s="180"/>
      <c r="CL259" s="180"/>
      <c r="CM259" s="180"/>
      <c r="CN259" s="180"/>
      <c r="CO259" s="180"/>
      <c r="CP259" s="180"/>
      <c r="CQ259" s="180"/>
      <c r="CR259" s="180"/>
      <c r="CS259" s="180"/>
      <c r="CT259" s="180"/>
      <c r="CU259" s="180"/>
      <c r="CV259" s="180"/>
      <c r="CW259" s="180"/>
      <c r="CX259" s="180"/>
      <c r="CY259" s="180"/>
      <c r="CZ259" s="180"/>
    </row>
    <row r="260" spans="1:104" x14ac:dyDescent="0.45">
      <c r="A260" s="180" t="s">
        <v>14</v>
      </c>
      <c r="B260" s="73">
        <v>30</v>
      </c>
      <c r="C260" s="73"/>
      <c r="D260" s="180" t="s">
        <v>309</v>
      </c>
      <c r="E260" s="39">
        <v>43596</v>
      </c>
      <c r="F260" s="179">
        <v>0.375</v>
      </c>
      <c r="G260" s="180">
        <v>1</v>
      </c>
      <c r="H260" s="180"/>
      <c r="I260" s="180"/>
      <c r="J260" s="180"/>
      <c r="K260" s="180"/>
      <c r="L260" s="180"/>
      <c r="M260" s="180"/>
      <c r="N260" s="180"/>
      <c r="O260" s="180"/>
      <c r="P260" s="180"/>
      <c r="AS260" s="180"/>
      <c r="AT260" s="180"/>
      <c r="AU260" s="180"/>
      <c r="AV260" s="180"/>
      <c r="AW260" s="180"/>
      <c r="AX260" s="180"/>
      <c r="AY260" s="180"/>
      <c r="AZ260" s="180"/>
      <c r="BA260" s="180"/>
      <c r="BB260" s="180"/>
      <c r="BC260" s="180"/>
      <c r="BD260" s="180"/>
      <c r="BE260" s="180"/>
      <c r="BF260" s="180"/>
      <c r="BG260" s="180"/>
      <c r="BH260" s="180"/>
      <c r="BI260" s="180"/>
      <c r="BJ260" s="180"/>
      <c r="BK260" s="180"/>
      <c r="BL260" s="180"/>
      <c r="BM260" s="180"/>
      <c r="BN260" s="180"/>
      <c r="BO260" s="180"/>
      <c r="BP260" s="180"/>
      <c r="BQ260" s="180"/>
      <c r="BR260" s="180"/>
      <c r="BS260" s="180"/>
      <c r="BT260" s="180"/>
      <c r="BU260" s="180"/>
      <c r="BV260" s="180"/>
      <c r="BW260" s="180"/>
      <c r="BX260" s="180"/>
      <c r="BY260" s="180"/>
      <c r="BZ260" s="180"/>
      <c r="CA260" s="180"/>
      <c r="CB260" s="180"/>
      <c r="CC260" s="180"/>
      <c r="CD260" s="180"/>
      <c r="CE260" s="180"/>
      <c r="CF260" s="180"/>
      <c r="CG260" s="180"/>
      <c r="CH260" s="180"/>
      <c r="CI260" s="180"/>
      <c r="CJ260" s="180"/>
      <c r="CK260" s="180"/>
      <c r="CL260" s="180"/>
      <c r="CM260" s="180"/>
      <c r="CN260" s="180"/>
      <c r="CO260" s="180"/>
      <c r="CP260" s="180"/>
      <c r="CQ260" s="180"/>
      <c r="CR260" s="180"/>
      <c r="CS260" s="180"/>
      <c r="CT260" s="180"/>
      <c r="CU260" s="180"/>
      <c r="CV260" s="180"/>
      <c r="CW260" s="180"/>
      <c r="CX260" s="180"/>
      <c r="CY260" s="180"/>
      <c r="CZ260" s="180"/>
    </row>
    <row r="261" spans="1:104" x14ac:dyDescent="0.45">
      <c r="A261" s="180" t="s">
        <v>14</v>
      </c>
      <c r="B261" s="73">
        <v>8</v>
      </c>
      <c r="C261" s="73"/>
      <c r="D261" s="180" t="s">
        <v>309</v>
      </c>
      <c r="E261" s="39">
        <v>43596</v>
      </c>
      <c r="F261" s="179">
        <v>0.34583333333333338</v>
      </c>
      <c r="G261" s="180">
        <v>1</v>
      </c>
      <c r="H261" s="180"/>
      <c r="I261" s="180"/>
      <c r="J261" s="180"/>
      <c r="K261" s="180"/>
      <c r="L261" s="180"/>
      <c r="M261" s="180"/>
      <c r="N261" s="180"/>
      <c r="O261" s="180"/>
      <c r="P261" s="180"/>
      <c r="AS261" s="180"/>
      <c r="AT261" s="180"/>
      <c r="AU261" s="180"/>
      <c r="AV261" s="180"/>
      <c r="AW261" s="180"/>
      <c r="AX261" s="180"/>
      <c r="AY261" s="180"/>
      <c r="AZ261" s="180"/>
      <c r="BA261" s="180"/>
      <c r="BB261" s="180"/>
      <c r="BC261" s="180"/>
      <c r="BD261" s="180"/>
      <c r="BE261" s="180"/>
      <c r="BF261" s="180"/>
      <c r="BG261" s="180"/>
      <c r="BH261" s="180"/>
      <c r="BI261" s="180"/>
      <c r="BJ261" s="180"/>
      <c r="BK261" s="180"/>
      <c r="BL261" s="180"/>
      <c r="BM261" s="180"/>
      <c r="BN261" s="180"/>
      <c r="BO261" s="180"/>
      <c r="BP261" s="180"/>
      <c r="BQ261" s="180"/>
      <c r="BR261" s="180"/>
      <c r="BS261" s="180"/>
      <c r="BT261" s="180"/>
      <c r="BU261" s="180"/>
      <c r="BV261" s="180"/>
      <c r="BW261" s="180"/>
      <c r="BX261" s="180"/>
      <c r="BY261" s="180"/>
      <c r="BZ261" s="180"/>
      <c r="CA261" s="180"/>
      <c r="CB261" s="180"/>
      <c r="CC261" s="180"/>
      <c r="CD261" s="180"/>
      <c r="CE261" s="180"/>
      <c r="CF261" s="180"/>
      <c r="CG261" s="180"/>
      <c r="CH261" s="180"/>
      <c r="CI261" s="180"/>
      <c r="CJ261" s="180"/>
      <c r="CK261" s="180"/>
      <c r="CL261" s="180"/>
      <c r="CM261" s="180"/>
      <c r="CN261" s="180"/>
      <c r="CO261" s="180"/>
      <c r="CP261" s="180"/>
      <c r="CQ261" s="180"/>
      <c r="CR261" s="180"/>
      <c r="CS261" s="180"/>
      <c r="CT261" s="180"/>
      <c r="CU261" s="180"/>
      <c r="CV261" s="180"/>
      <c r="CW261" s="180"/>
      <c r="CX261" s="180"/>
      <c r="CY261" s="180"/>
      <c r="CZ261" s="180"/>
    </row>
    <row r="262" spans="1:104" x14ac:dyDescent="0.45">
      <c r="A262" s="180" t="s">
        <v>14</v>
      </c>
      <c r="B262" s="73">
        <v>300</v>
      </c>
      <c r="C262" s="73"/>
      <c r="D262" s="180" t="s">
        <v>309</v>
      </c>
      <c r="E262" s="39">
        <v>43596</v>
      </c>
      <c r="F262" s="179">
        <v>0.32291666666666669</v>
      </c>
      <c r="G262" s="180">
        <v>5</v>
      </c>
      <c r="H262" s="180"/>
      <c r="I262" s="180"/>
      <c r="J262" s="180"/>
      <c r="K262" s="180"/>
      <c r="L262" s="180"/>
      <c r="M262" s="180"/>
      <c r="N262" s="180"/>
      <c r="O262" s="180"/>
      <c r="P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c r="CF262" s="180"/>
      <c r="CG262" s="180"/>
      <c r="CH262" s="180"/>
      <c r="CI262" s="180"/>
      <c r="CJ262" s="180"/>
      <c r="CK262" s="180"/>
      <c r="CL262" s="180"/>
      <c r="CM262" s="180"/>
      <c r="CN262" s="180"/>
      <c r="CO262" s="180"/>
      <c r="CP262" s="180"/>
      <c r="CQ262" s="180"/>
      <c r="CR262" s="180"/>
      <c r="CS262" s="180"/>
      <c r="CT262" s="180"/>
      <c r="CU262" s="180"/>
      <c r="CV262" s="180"/>
      <c r="CW262" s="180"/>
      <c r="CX262" s="180"/>
      <c r="CY262" s="180"/>
      <c r="CZ262" s="180"/>
    </row>
    <row r="263" spans="1:104" x14ac:dyDescent="0.45">
      <c r="A263" s="180" t="s">
        <v>14</v>
      </c>
      <c r="B263" s="73">
        <v>200</v>
      </c>
      <c r="C263" s="73"/>
      <c r="D263" s="180" t="s">
        <v>309</v>
      </c>
      <c r="E263" s="39">
        <v>43596</v>
      </c>
      <c r="F263" s="179">
        <v>0.87222222222222223</v>
      </c>
      <c r="G263" s="180">
        <v>4</v>
      </c>
      <c r="H263" s="180"/>
      <c r="I263" s="180"/>
      <c r="J263" s="180"/>
      <c r="K263" s="180"/>
      <c r="L263" s="180"/>
      <c r="M263" s="180"/>
      <c r="N263" s="180"/>
      <c r="O263" s="180"/>
      <c r="P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0"/>
      <c r="BR263" s="180"/>
      <c r="BS263" s="180"/>
      <c r="BT263" s="180"/>
      <c r="BU263" s="180"/>
      <c r="BV263" s="180"/>
      <c r="BW263" s="180"/>
      <c r="BX263" s="180"/>
      <c r="BY263" s="180"/>
      <c r="BZ263" s="180"/>
      <c r="CA263" s="180"/>
      <c r="CB263" s="180"/>
      <c r="CC263" s="180"/>
      <c r="CD263" s="180"/>
      <c r="CE263" s="180"/>
      <c r="CF263" s="180"/>
      <c r="CG263" s="180"/>
      <c r="CH263" s="180"/>
      <c r="CI263" s="180"/>
      <c r="CJ263" s="180"/>
      <c r="CK263" s="180"/>
      <c r="CL263" s="180"/>
      <c r="CM263" s="180"/>
      <c r="CN263" s="180"/>
      <c r="CO263" s="180"/>
      <c r="CP263" s="180"/>
      <c r="CQ263" s="180"/>
      <c r="CR263" s="180"/>
      <c r="CS263" s="180"/>
      <c r="CT263" s="180"/>
      <c r="CU263" s="180"/>
      <c r="CV263" s="180"/>
      <c r="CW263" s="180"/>
      <c r="CX263" s="180"/>
      <c r="CY263" s="180"/>
      <c r="CZ263" s="180"/>
    </row>
    <row r="264" spans="1:104" x14ac:dyDescent="0.45">
      <c r="A264" s="180" t="s">
        <v>14</v>
      </c>
      <c r="B264" s="73">
        <v>600</v>
      </c>
      <c r="C264" s="73">
        <v>600</v>
      </c>
      <c r="D264" s="180" t="s">
        <v>309</v>
      </c>
      <c r="E264" s="39">
        <v>43596</v>
      </c>
      <c r="F264" s="179">
        <v>0.79513888888888884</v>
      </c>
      <c r="G264" s="180">
        <v>1</v>
      </c>
      <c r="H264" s="180" t="s">
        <v>387</v>
      </c>
      <c r="I264" s="180"/>
      <c r="J264" s="180"/>
      <c r="K264" s="180"/>
      <c r="L264" s="180"/>
      <c r="M264" s="180"/>
      <c r="N264" s="180"/>
      <c r="O264" s="180"/>
      <c r="P264" s="180"/>
      <c r="AS264" s="180"/>
      <c r="AT264" s="180"/>
      <c r="AU264" s="180"/>
      <c r="AV264" s="180"/>
      <c r="AW264" s="180"/>
      <c r="AX264" s="180"/>
      <c r="AY264" s="180"/>
      <c r="AZ264" s="180"/>
      <c r="BA264" s="180"/>
      <c r="BB264" s="180"/>
      <c r="BC264" s="180"/>
      <c r="BD264" s="180"/>
      <c r="BE264" s="180"/>
      <c r="BF264" s="180"/>
      <c r="BG264" s="180"/>
      <c r="BH264" s="180"/>
      <c r="BI264" s="180"/>
      <c r="BJ264" s="180"/>
      <c r="BK264" s="180"/>
      <c r="BL264" s="180"/>
      <c r="BM264" s="180"/>
      <c r="BN264" s="180"/>
      <c r="BO264" s="180"/>
      <c r="BP264" s="180"/>
      <c r="BQ264" s="180"/>
      <c r="BR264" s="180"/>
      <c r="BS264" s="180"/>
      <c r="BT264" s="180"/>
      <c r="BU264" s="180"/>
      <c r="BV264" s="180"/>
      <c r="BW264" s="180"/>
      <c r="BX264" s="180"/>
      <c r="BY264" s="180"/>
      <c r="BZ264" s="180"/>
      <c r="CA264" s="180"/>
      <c r="CB264" s="180"/>
      <c r="CC264" s="180"/>
      <c r="CD264" s="180"/>
      <c r="CE264" s="180"/>
      <c r="CF264" s="180"/>
      <c r="CG264" s="180"/>
      <c r="CH264" s="180"/>
      <c r="CI264" s="180"/>
      <c r="CJ264" s="180"/>
      <c r="CK264" s="180"/>
      <c r="CL264" s="180"/>
      <c r="CM264" s="180"/>
      <c r="CN264" s="180"/>
      <c r="CO264" s="180"/>
      <c r="CP264" s="180"/>
      <c r="CQ264" s="180"/>
      <c r="CR264" s="180"/>
      <c r="CS264" s="180"/>
      <c r="CT264" s="180"/>
      <c r="CU264" s="180"/>
      <c r="CV264" s="180"/>
      <c r="CW264" s="180"/>
      <c r="CX264" s="180"/>
      <c r="CY264" s="180"/>
      <c r="CZ264" s="180"/>
    </row>
    <row r="265" spans="1:104" x14ac:dyDescent="0.45">
      <c r="A265" s="180" t="s">
        <v>14</v>
      </c>
      <c r="B265" s="73">
        <v>6</v>
      </c>
      <c r="C265" s="73"/>
      <c r="D265" s="180" t="s">
        <v>309</v>
      </c>
      <c r="E265" s="39">
        <v>43596</v>
      </c>
      <c r="F265" s="179">
        <v>0.28472222222222221</v>
      </c>
      <c r="G265" s="180">
        <v>1</v>
      </c>
      <c r="H265" s="180"/>
      <c r="I265" s="180"/>
      <c r="J265" s="180"/>
      <c r="K265" s="180"/>
      <c r="L265" s="180"/>
      <c r="M265" s="180"/>
      <c r="N265" s="180"/>
      <c r="O265" s="180"/>
      <c r="P265" s="180"/>
      <c r="AS265" s="180"/>
      <c r="AT265" s="180"/>
      <c r="AU265" s="180"/>
      <c r="AV265" s="180"/>
      <c r="AW265" s="180"/>
      <c r="AX265" s="180"/>
      <c r="AY265" s="180"/>
      <c r="AZ265" s="180"/>
      <c r="BA265" s="180"/>
      <c r="BB265" s="180"/>
      <c r="BC265" s="180"/>
      <c r="BD265" s="180"/>
      <c r="BE265" s="180"/>
      <c r="BF265" s="180"/>
      <c r="BG265" s="180"/>
      <c r="BH265" s="180"/>
      <c r="BI265" s="180"/>
      <c r="BJ265" s="180"/>
      <c r="BK265" s="180"/>
      <c r="BL265" s="180"/>
      <c r="BM265" s="180"/>
      <c r="BN265" s="180"/>
      <c r="BO265" s="180"/>
      <c r="BP265" s="180"/>
      <c r="BQ265" s="180"/>
      <c r="BR265" s="180"/>
      <c r="BS265" s="180"/>
      <c r="BT265" s="180"/>
      <c r="BU265" s="180"/>
      <c r="BV265" s="180"/>
      <c r="BW265" s="180"/>
      <c r="BX265" s="180"/>
      <c r="BY265" s="180"/>
      <c r="BZ265" s="180"/>
      <c r="CA265" s="180"/>
      <c r="CB265" s="180"/>
      <c r="CC265" s="180"/>
      <c r="CD265" s="180"/>
      <c r="CE265" s="180"/>
      <c r="CF265" s="180"/>
      <c r="CG265" s="180"/>
      <c r="CH265" s="180"/>
      <c r="CI265" s="180"/>
      <c r="CJ265" s="180"/>
      <c r="CK265" s="180"/>
      <c r="CL265" s="180"/>
      <c r="CM265" s="180"/>
      <c r="CN265" s="180"/>
      <c r="CO265" s="180"/>
      <c r="CP265" s="180"/>
      <c r="CQ265" s="180"/>
      <c r="CR265" s="180"/>
      <c r="CS265" s="180"/>
      <c r="CT265" s="180"/>
      <c r="CU265" s="180"/>
      <c r="CV265" s="180"/>
      <c r="CW265" s="180"/>
      <c r="CX265" s="180"/>
      <c r="CY265" s="180"/>
      <c r="CZ265" s="180"/>
    </row>
    <row r="266" spans="1:104" x14ac:dyDescent="0.45">
      <c r="A266" s="180" t="s">
        <v>14</v>
      </c>
      <c r="B266" s="73">
        <v>300</v>
      </c>
      <c r="C266" s="73"/>
      <c r="D266" s="180" t="s">
        <v>309</v>
      </c>
      <c r="E266" s="39">
        <v>43596</v>
      </c>
      <c r="F266" s="179">
        <v>0.37986111111111115</v>
      </c>
      <c r="G266" s="180">
        <v>1</v>
      </c>
      <c r="H266" s="180"/>
      <c r="I266" s="180"/>
      <c r="J266" s="180"/>
      <c r="K266" s="180"/>
      <c r="L266" s="180"/>
      <c r="M266" s="180"/>
      <c r="N266" s="180"/>
      <c r="O266" s="180"/>
      <c r="P266" s="180"/>
      <c r="AS266" s="180"/>
      <c r="AT266" s="180"/>
      <c r="AU266" s="180"/>
      <c r="AV266" s="180"/>
      <c r="AW266" s="180"/>
      <c r="AX266" s="180"/>
      <c r="AY266" s="180"/>
      <c r="AZ266" s="180"/>
      <c r="BA266" s="180"/>
      <c r="BB266" s="180"/>
      <c r="BC266" s="180"/>
      <c r="BD266" s="180"/>
      <c r="BE266" s="180"/>
      <c r="BF266" s="180"/>
      <c r="BG266" s="180"/>
      <c r="BH266" s="180"/>
      <c r="BI266" s="180"/>
      <c r="BJ266" s="180"/>
      <c r="BK266" s="180"/>
      <c r="BL266" s="180"/>
      <c r="BM266" s="180"/>
      <c r="BN266" s="180"/>
      <c r="BO266" s="180"/>
      <c r="BP266" s="180"/>
      <c r="BQ266" s="180"/>
      <c r="BR266" s="180"/>
      <c r="BS266" s="180"/>
      <c r="BT266" s="180"/>
      <c r="BU266" s="180"/>
      <c r="BV266" s="180"/>
      <c r="BW266" s="180"/>
      <c r="BX266" s="180"/>
      <c r="BY266" s="180"/>
      <c r="BZ266" s="180"/>
      <c r="CA266" s="180"/>
      <c r="CB266" s="180"/>
      <c r="CC266" s="180"/>
      <c r="CD266" s="180"/>
      <c r="CE266" s="180"/>
      <c r="CF266" s="180"/>
      <c r="CG266" s="180"/>
      <c r="CH266" s="180"/>
      <c r="CI266" s="180"/>
      <c r="CJ266" s="180"/>
      <c r="CK266" s="180"/>
      <c r="CL266" s="180"/>
      <c r="CM266" s="180"/>
      <c r="CN266" s="180"/>
      <c r="CO266" s="180"/>
      <c r="CP266" s="180"/>
      <c r="CQ266" s="180"/>
      <c r="CR266" s="180"/>
      <c r="CS266" s="180"/>
      <c r="CT266" s="180"/>
      <c r="CU266" s="180"/>
      <c r="CV266" s="180"/>
      <c r="CW266" s="180"/>
      <c r="CX266" s="180"/>
      <c r="CY266" s="180"/>
      <c r="CZ266" s="180"/>
    </row>
    <row r="267" spans="1:104" x14ac:dyDescent="0.45">
      <c r="A267" s="180" t="s">
        <v>14</v>
      </c>
      <c r="B267" s="73">
        <v>10</v>
      </c>
      <c r="C267" s="73"/>
      <c r="D267" s="180" t="s">
        <v>309</v>
      </c>
      <c r="E267" s="39">
        <v>43596</v>
      </c>
      <c r="F267" s="179">
        <v>0.81041666666666667</v>
      </c>
      <c r="G267" s="180">
        <v>1</v>
      </c>
      <c r="H267" s="180"/>
      <c r="I267" s="180"/>
      <c r="J267" s="180"/>
      <c r="K267" s="180"/>
      <c r="L267" s="180"/>
      <c r="M267" s="180"/>
      <c r="N267" s="180"/>
      <c r="O267" s="180"/>
      <c r="P267" s="180"/>
      <c r="AS267" s="180"/>
      <c r="AT267" s="180"/>
      <c r="AU267" s="180"/>
      <c r="AV267" s="180"/>
      <c r="AW267" s="180"/>
      <c r="AX267" s="180"/>
      <c r="AY267" s="180"/>
      <c r="AZ267" s="180"/>
      <c r="BA267" s="180"/>
      <c r="BB267" s="180"/>
      <c r="BC267" s="180"/>
      <c r="BD267" s="180"/>
      <c r="BE267" s="180"/>
      <c r="BF267" s="180"/>
      <c r="BG267" s="180"/>
      <c r="BH267" s="180"/>
      <c r="BI267" s="180"/>
      <c r="BJ267" s="180"/>
      <c r="BK267" s="180"/>
      <c r="BL267" s="180"/>
      <c r="BM267" s="180"/>
      <c r="BN267" s="180"/>
      <c r="BO267" s="180"/>
      <c r="BP267" s="180"/>
      <c r="BQ267" s="180"/>
      <c r="BR267" s="180"/>
      <c r="BS267" s="180"/>
      <c r="BT267" s="180"/>
      <c r="BU267" s="180"/>
      <c r="BV267" s="180"/>
      <c r="BW267" s="180"/>
      <c r="BX267" s="180"/>
      <c r="BY267" s="180"/>
      <c r="BZ267" s="180"/>
      <c r="CA267" s="180"/>
      <c r="CB267" s="180"/>
      <c r="CC267" s="180"/>
      <c r="CD267" s="180"/>
      <c r="CE267" s="180"/>
      <c r="CF267" s="180"/>
      <c r="CG267" s="180"/>
      <c r="CH267" s="180"/>
      <c r="CI267" s="180"/>
      <c r="CJ267" s="180"/>
      <c r="CK267" s="180"/>
      <c r="CL267" s="180"/>
      <c r="CM267" s="180"/>
      <c r="CN267" s="180"/>
      <c r="CO267" s="180"/>
      <c r="CP267" s="180"/>
      <c r="CQ267" s="180"/>
      <c r="CR267" s="180"/>
      <c r="CS267" s="180"/>
      <c r="CT267" s="180"/>
      <c r="CU267" s="180"/>
      <c r="CV267" s="180"/>
      <c r="CW267" s="180"/>
      <c r="CX267" s="180"/>
      <c r="CY267" s="180"/>
      <c r="CZ267" s="180"/>
    </row>
    <row r="268" spans="1:104" x14ac:dyDescent="0.45">
      <c r="A268" s="180" t="s">
        <v>14</v>
      </c>
      <c r="B268" s="73">
        <v>100</v>
      </c>
      <c r="C268" s="73"/>
      <c r="D268" s="180" t="s">
        <v>309</v>
      </c>
      <c r="E268" s="39">
        <v>43596</v>
      </c>
      <c r="F268" s="179">
        <v>0.32569444444444445</v>
      </c>
      <c r="G268" s="180">
        <v>3</v>
      </c>
      <c r="H268" s="180" t="s">
        <v>361</v>
      </c>
      <c r="I268" s="180" t="s">
        <v>388</v>
      </c>
      <c r="J268" s="180"/>
      <c r="K268" s="180"/>
      <c r="L268" s="180"/>
      <c r="M268" s="180"/>
      <c r="N268" s="180"/>
      <c r="O268" s="180"/>
      <c r="P268" s="180"/>
      <c r="AS268" s="180"/>
      <c r="AT268" s="180"/>
      <c r="AU268" s="180"/>
      <c r="AV268" s="180"/>
      <c r="AW268" s="180"/>
      <c r="AX268" s="180"/>
      <c r="AY268" s="180"/>
      <c r="AZ268" s="180"/>
      <c r="BA268" s="180"/>
      <c r="BB268" s="180"/>
      <c r="BC268" s="180"/>
      <c r="BD268" s="180"/>
      <c r="BE268" s="180"/>
      <c r="BF268" s="180"/>
      <c r="BG268" s="180"/>
      <c r="BH268" s="180"/>
      <c r="BI268" s="180"/>
      <c r="BJ268" s="180"/>
      <c r="BK268" s="180"/>
      <c r="BL268" s="180"/>
      <c r="BM268" s="180"/>
      <c r="BN268" s="180"/>
      <c r="BO268" s="180"/>
      <c r="BP268" s="180"/>
      <c r="BQ268" s="180"/>
      <c r="BR268" s="180"/>
      <c r="BS268" s="180"/>
      <c r="BT268" s="180"/>
      <c r="BU268" s="180"/>
      <c r="BV268" s="180"/>
      <c r="BW268" s="180"/>
      <c r="BX268" s="180"/>
      <c r="BY268" s="180"/>
      <c r="BZ268" s="180"/>
      <c r="CA268" s="180"/>
      <c r="CB268" s="180"/>
      <c r="CC268" s="180"/>
      <c r="CD268" s="180"/>
      <c r="CE268" s="180"/>
      <c r="CF268" s="180"/>
      <c r="CG268" s="180"/>
      <c r="CH268" s="180"/>
      <c r="CI268" s="180"/>
      <c r="CJ268" s="180"/>
      <c r="CK268" s="180"/>
      <c r="CL268" s="180"/>
      <c r="CM268" s="180"/>
      <c r="CN268" s="180"/>
      <c r="CO268" s="180"/>
      <c r="CP268" s="180"/>
      <c r="CQ268" s="180"/>
      <c r="CR268" s="180"/>
      <c r="CS268" s="180"/>
      <c r="CT268" s="180"/>
      <c r="CU268" s="180"/>
      <c r="CV268" s="180"/>
      <c r="CW268" s="180"/>
      <c r="CX268" s="180"/>
      <c r="CY268" s="180"/>
      <c r="CZ268" s="180"/>
    </row>
    <row r="269" spans="1:104" x14ac:dyDescent="0.45">
      <c r="A269" s="180" t="s">
        <v>14</v>
      </c>
      <c r="B269" s="73">
        <v>15</v>
      </c>
      <c r="C269" s="73"/>
      <c r="D269" s="180" t="s">
        <v>324</v>
      </c>
      <c r="E269" s="39">
        <v>43596</v>
      </c>
      <c r="F269" s="179">
        <v>0.28333333333333333</v>
      </c>
      <c r="G269" s="180">
        <v>2</v>
      </c>
      <c r="H269" s="180"/>
      <c r="I269" s="180" t="s">
        <v>389</v>
      </c>
      <c r="J269" s="180"/>
      <c r="K269" s="180"/>
      <c r="L269" s="180"/>
      <c r="M269" s="180"/>
      <c r="N269" s="180"/>
      <c r="O269" s="180"/>
      <c r="P269" s="180"/>
      <c r="AS269" s="180"/>
      <c r="AT269" s="180"/>
      <c r="AU269" s="180"/>
      <c r="AV269" s="180"/>
      <c r="AW269" s="180"/>
      <c r="AX269" s="180"/>
      <c r="AY269" s="180"/>
      <c r="AZ269" s="180"/>
      <c r="BA269" s="180"/>
      <c r="BB269" s="180"/>
      <c r="BC269" s="180"/>
      <c r="BD269" s="180"/>
      <c r="BE269" s="180"/>
      <c r="BF269" s="180"/>
      <c r="BG269" s="180"/>
      <c r="BH269" s="180"/>
      <c r="BI269" s="180"/>
      <c r="BJ269" s="180"/>
      <c r="BK269" s="180"/>
      <c r="BL269" s="180"/>
      <c r="BM269" s="180"/>
      <c r="BN269" s="180"/>
      <c r="BO269" s="180"/>
      <c r="BP269" s="180"/>
      <c r="BQ269" s="180"/>
      <c r="BR269" s="180"/>
      <c r="BS269" s="180"/>
      <c r="BT269" s="180"/>
      <c r="BU269" s="180"/>
      <c r="BV269" s="180"/>
      <c r="BW269" s="180"/>
      <c r="BX269" s="180"/>
      <c r="BY269" s="180"/>
      <c r="BZ269" s="180"/>
      <c r="CA269" s="180"/>
      <c r="CB269" s="180"/>
      <c r="CC269" s="180"/>
      <c r="CD269" s="180"/>
      <c r="CE269" s="180"/>
      <c r="CF269" s="180"/>
      <c r="CG269" s="180"/>
      <c r="CH269" s="180"/>
      <c r="CI269" s="180"/>
      <c r="CJ269" s="180"/>
      <c r="CK269" s="180"/>
      <c r="CL269" s="180"/>
      <c r="CM269" s="180"/>
      <c r="CN269" s="180"/>
      <c r="CO269" s="180"/>
      <c r="CP269" s="180"/>
      <c r="CQ269" s="180"/>
      <c r="CR269" s="180"/>
      <c r="CS269" s="180"/>
      <c r="CT269" s="180"/>
      <c r="CU269" s="180"/>
      <c r="CV269" s="180"/>
      <c r="CW269" s="180"/>
      <c r="CX269" s="180"/>
      <c r="CY269" s="180"/>
      <c r="CZ269" s="180"/>
    </row>
    <row r="270" spans="1:104" x14ac:dyDescent="0.45">
      <c r="A270" s="180" t="s">
        <v>14</v>
      </c>
      <c r="B270" s="73">
        <v>3</v>
      </c>
      <c r="C270" s="73"/>
      <c r="D270" s="180" t="s">
        <v>376</v>
      </c>
      <c r="E270" s="39">
        <v>43596</v>
      </c>
      <c r="F270" s="179">
        <v>0.72083333333333333</v>
      </c>
      <c r="G270" s="180">
        <v>3</v>
      </c>
      <c r="H270" s="180"/>
      <c r="I270" s="180"/>
      <c r="J270" s="180"/>
      <c r="K270" s="180"/>
      <c r="L270" s="180"/>
      <c r="M270" s="180"/>
      <c r="N270" s="180"/>
      <c r="O270" s="180"/>
      <c r="P270" s="180"/>
      <c r="AS270" s="180"/>
      <c r="AT270" s="180"/>
      <c r="AU270" s="180"/>
      <c r="AV270" s="180"/>
      <c r="AW270" s="180"/>
      <c r="AX270" s="180"/>
      <c r="AY270" s="180"/>
      <c r="AZ270" s="180"/>
      <c r="BA270" s="180"/>
      <c r="BB270" s="180"/>
      <c r="BC270" s="180"/>
      <c r="BD270" s="180"/>
      <c r="BE270" s="180"/>
      <c r="BF270" s="180"/>
      <c r="BG270" s="180"/>
      <c r="BH270" s="180"/>
      <c r="BI270" s="180"/>
      <c r="BJ270" s="180"/>
      <c r="BK270" s="180"/>
      <c r="BL270" s="180"/>
      <c r="BM270" s="180"/>
      <c r="BN270" s="180"/>
      <c r="BO270" s="180"/>
      <c r="BP270" s="180"/>
      <c r="BQ270" s="180"/>
      <c r="BR270" s="180"/>
      <c r="BS270" s="180"/>
      <c r="BT270" s="180"/>
      <c r="BU270" s="180"/>
      <c r="BV270" s="180"/>
      <c r="BW270" s="180"/>
      <c r="BX270" s="180"/>
      <c r="BY270" s="180"/>
      <c r="BZ270" s="180"/>
      <c r="CA270" s="180"/>
      <c r="CB270" s="180"/>
      <c r="CC270" s="180"/>
      <c r="CD270" s="180"/>
      <c r="CE270" s="180"/>
      <c r="CF270" s="180"/>
      <c r="CG270" s="180"/>
      <c r="CH270" s="180"/>
      <c r="CI270" s="180"/>
      <c r="CJ270" s="180"/>
      <c r="CK270" s="180"/>
      <c r="CL270" s="180"/>
      <c r="CM270" s="180"/>
      <c r="CN270" s="180"/>
      <c r="CO270" s="180"/>
      <c r="CP270" s="180"/>
      <c r="CQ270" s="180"/>
      <c r="CR270" s="180"/>
      <c r="CS270" s="180"/>
      <c r="CT270" s="180"/>
      <c r="CU270" s="180"/>
      <c r="CV270" s="180"/>
      <c r="CW270" s="180"/>
      <c r="CX270" s="180"/>
      <c r="CY270" s="180"/>
      <c r="CZ270" s="180"/>
    </row>
    <row r="271" spans="1:104" x14ac:dyDescent="0.45">
      <c r="A271" s="180" t="s">
        <v>14</v>
      </c>
      <c r="B271" s="73">
        <v>63</v>
      </c>
      <c r="C271" s="73">
        <v>63</v>
      </c>
      <c r="D271" s="180" t="s">
        <v>376</v>
      </c>
      <c r="E271" s="39">
        <v>43596</v>
      </c>
      <c r="F271" s="179">
        <v>0.36388888888888887</v>
      </c>
      <c r="G271" s="180">
        <v>2</v>
      </c>
      <c r="H271" s="180"/>
      <c r="I271" s="180"/>
      <c r="J271" s="180"/>
      <c r="K271" s="180"/>
      <c r="L271" s="180"/>
      <c r="M271" s="180"/>
      <c r="N271" s="180"/>
      <c r="O271" s="180"/>
      <c r="P271" s="180"/>
      <c r="AS271" s="180"/>
      <c r="AT271" s="180"/>
      <c r="AU271" s="180"/>
      <c r="AV271" s="180"/>
      <c r="AW271" s="180"/>
      <c r="AX271" s="180"/>
      <c r="AY271" s="180"/>
      <c r="AZ271" s="180"/>
      <c r="BA271" s="180"/>
      <c r="BB271" s="180"/>
      <c r="BC271" s="180"/>
      <c r="BD271" s="180"/>
      <c r="BE271" s="180"/>
      <c r="BF271" s="180"/>
      <c r="BG271" s="180"/>
      <c r="BH271" s="180"/>
      <c r="BI271" s="180"/>
      <c r="BJ271" s="180"/>
      <c r="BK271" s="180"/>
      <c r="BL271" s="180"/>
      <c r="BM271" s="180"/>
      <c r="BN271" s="180"/>
      <c r="BO271" s="180"/>
      <c r="BP271" s="180"/>
      <c r="BQ271" s="180"/>
      <c r="BR271" s="180"/>
      <c r="BS271" s="180"/>
      <c r="BT271" s="180"/>
      <c r="BU271" s="180"/>
      <c r="BV271" s="180"/>
      <c r="BW271" s="180"/>
      <c r="BX271" s="180"/>
      <c r="BY271" s="180"/>
      <c r="BZ271" s="180"/>
      <c r="CA271" s="180"/>
      <c r="CB271" s="180"/>
      <c r="CC271" s="180"/>
      <c r="CD271" s="180"/>
      <c r="CE271" s="180"/>
      <c r="CF271" s="180"/>
      <c r="CG271" s="180"/>
      <c r="CH271" s="180"/>
      <c r="CI271" s="180"/>
      <c r="CJ271" s="180"/>
      <c r="CK271" s="180"/>
      <c r="CL271" s="180"/>
      <c r="CM271" s="180"/>
      <c r="CN271" s="180"/>
      <c r="CO271" s="180"/>
      <c r="CP271" s="180"/>
      <c r="CQ271" s="180"/>
      <c r="CR271" s="180"/>
      <c r="CS271" s="180"/>
      <c r="CT271" s="180"/>
      <c r="CU271" s="180"/>
      <c r="CV271" s="180"/>
      <c r="CW271" s="180"/>
      <c r="CX271" s="180"/>
      <c r="CY271" s="180"/>
      <c r="CZ271" s="180"/>
    </row>
    <row r="272" spans="1:104" x14ac:dyDescent="0.45">
      <c r="A272" s="180" t="s">
        <v>14</v>
      </c>
      <c r="B272" s="73">
        <v>11</v>
      </c>
      <c r="C272" s="73">
        <v>11</v>
      </c>
      <c r="D272" s="180" t="s">
        <v>296</v>
      </c>
      <c r="E272" s="39">
        <v>43596</v>
      </c>
      <c r="F272" s="179">
        <v>0.27083333333333331</v>
      </c>
      <c r="G272" s="180">
        <v>1</v>
      </c>
      <c r="H272" s="180"/>
      <c r="I272" s="180"/>
      <c r="J272" s="180"/>
      <c r="K272" s="180"/>
      <c r="L272" s="180"/>
      <c r="M272" s="180"/>
      <c r="N272" s="180"/>
      <c r="O272" s="180"/>
      <c r="P272" s="180"/>
      <c r="AS272" s="180"/>
      <c r="AT272" s="180"/>
      <c r="AU272" s="180"/>
      <c r="AV272" s="180"/>
      <c r="AW272" s="180"/>
      <c r="AX272" s="180"/>
      <c r="AY272" s="180"/>
      <c r="AZ272" s="180"/>
      <c r="BA272" s="180"/>
      <c r="BB272" s="180"/>
      <c r="BC272" s="180"/>
      <c r="BD272" s="180"/>
      <c r="BE272" s="180"/>
      <c r="BF272" s="180"/>
      <c r="BG272" s="180"/>
      <c r="BH272" s="180"/>
      <c r="BI272" s="180"/>
      <c r="BJ272" s="180"/>
      <c r="BK272" s="180"/>
      <c r="BL272" s="180"/>
      <c r="BM272" s="180"/>
      <c r="BN272" s="180"/>
      <c r="BO272" s="180"/>
      <c r="BP272" s="180"/>
      <c r="BQ272" s="180"/>
      <c r="BR272" s="180"/>
      <c r="BS272" s="180"/>
      <c r="BT272" s="180"/>
      <c r="BU272" s="180"/>
      <c r="BV272" s="180"/>
      <c r="BW272" s="180"/>
      <c r="BX272" s="180"/>
      <c r="BY272" s="180"/>
      <c r="BZ272" s="180"/>
      <c r="CA272" s="180"/>
      <c r="CB272" s="180"/>
      <c r="CC272" s="180"/>
      <c r="CD272" s="180"/>
      <c r="CE272" s="180"/>
      <c r="CF272" s="180"/>
      <c r="CG272" s="180"/>
      <c r="CH272" s="180"/>
      <c r="CI272" s="180"/>
      <c r="CJ272" s="180"/>
      <c r="CK272" s="180"/>
      <c r="CL272" s="180"/>
      <c r="CM272" s="180"/>
      <c r="CN272" s="180"/>
      <c r="CO272" s="180"/>
      <c r="CP272" s="180"/>
      <c r="CQ272" s="180"/>
      <c r="CR272" s="180"/>
      <c r="CS272" s="180"/>
      <c r="CT272" s="180"/>
      <c r="CU272" s="180"/>
      <c r="CV272" s="180"/>
      <c r="CW272" s="180"/>
      <c r="CX272" s="180"/>
      <c r="CY272" s="180"/>
      <c r="CZ272" s="180"/>
    </row>
    <row r="273" spans="1:104" x14ac:dyDescent="0.45">
      <c r="A273" s="180" t="s">
        <v>14</v>
      </c>
      <c r="B273" s="73">
        <v>30</v>
      </c>
      <c r="C273" s="73"/>
      <c r="D273" s="180" t="s">
        <v>271</v>
      </c>
      <c r="E273" s="39">
        <v>43596</v>
      </c>
      <c r="F273" s="179">
        <v>0.33333333333333331</v>
      </c>
      <c r="G273" s="180">
        <v>6</v>
      </c>
      <c r="H273" s="180" t="s">
        <v>327</v>
      </c>
      <c r="I273" s="180" t="s">
        <v>37</v>
      </c>
      <c r="J273" s="180"/>
      <c r="K273" s="180"/>
      <c r="L273" s="180"/>
      <c r="M273" s="180"/>
      <c r="N273" s="180"/>
      <c r="O273" s="180"/>
      <c r="P273" s="180"/>
      <c r="AS273" s="180"/>
      <c r="AT273" s="180"/>
      <c r="AU273" s="180"/>
      <c r="AV273" s="180"/>
      <c r="AW273" s="180"/>
      <c r="AX273" s="180"/>
      <c r="AY273" s="180"/>
      <c r="AZ273" s="180"/>
      <c r="BA273" s="180"/>
      <c r="BB273" s="180"/>
      <c r="BC273" s="180"/>
      <c r="BD273" s="180"/>
      <c r="BE273" s="180"/>
      <c r="BF273" s="180"/>
      <c r="BG273" s="180"/>
      <c r="BH273" s="180"/>
      <c r="BI273" s="180"/>
      <c r="BJ273" s="180"/>
      <c r="BK273" s="180"/>
      <c r="BL273" s="180"/>
      <c r="BM273" s="180"/>
      <c r="BN273" s="180"/>
      <c r="BO273" s="180"/>
      <c r="BP273" s="180"/>
      <c r="BQ273" s="180"/>
      <c r="BR273" s="180"/>
      <c r="BS273" s="180"/>
      <c r="BT273" s="180"/>
      <c r="BU273" s="180"/>
      <c r="BV273" s="180"/>
      <c r="BW273" s="180"/>
      <c r="BX273" s="180"/>
      <c r="BY273" s="180"/>
      <c r="BZ273" s="180"/>
      <c r="CA273" s="180"/>
      <c r="CB273" s="180"/>
      <c r="CC273" s="180"/>
      <c r="CD273" s="180"/>
      <c r="CE273" s="180"/>
      <c r="CF273" s="180"/>
      <c r="CG273" s="180"/>
      <c r="CH273" s="180"/>
      <c r="CI273" s="180"/>
      <c r="CJ273" s="180"/>
      <c r="CK273" s="180"/>
      <c r="CL273" s="180"/>
      <c r="CM273" s="180"/>
      <c r="CN273" s="180"/>
      <c r="CO273" s="180"/>
      <c r="CP273" s="180"/>
      <c r="CQ273" s="180"/>
      <c r="CR273" s="180"/>
      <c r="CS273" s="180"/>
      <c r="CT273" s="180"/>
      <c r="CU273" s="180"/>
      <c r="CV273" s="180"/>
      <c r="CW273" s="180"/>
      <c r="CX273" s="180"/>
      <c r="CY273" s="180"/>
      <c r="CZ273" s="180"/>
    </row>
    <row r="274" spans="1:104" x14ac:dyDescent="0.45">
      <c r="A274" s="180" t="s">
        <v>14</v>
      </c>
      <c r="B274" s="73">
        <v>4</v>
      </c>
      <c r="C274" s="73"/>
      <c r="D274" s="180" t="s">
        <v>271</v>
      </c>
      <c r="E274" s="39">
        <v>43596</v>
      </c>
      <c r="F274" s="179">
        <v>0.5756944444444444</v>
      </c>
      <c r="G274" s="180">
        <v>2</v>
      </c>
      <c r="H274" s="180"/>
      <c r="I274" s="180"/>
      <c r="J274" s="180"/>
      <c r="K274" s="180"/>
      <c r="L274" s="180"/>
      <c r="M274" s="180"/>
      <c r="N274" s="180"/>
      <c r="O274" s="180"/>
      <c r="P274" s="180"/>
      <c r="AS274" s="180"/>
      <c r="AT274" s="180"/>
      <c r="AU274" s="180"/>
      <c r="AV274" s="180"/>
      <c r="AW274" s="180"/>
      <c r="AX274" s="180"/>
      <c r="AY274" s="180"/>
      <c r="AZ274" s="180"/>
      <c r="BA274" s="180"/>
      <c r="BB274" s="180"/>
      <c r="BC274" s="180"/>
      <c r="BD274" s="180"/>
      <c r="BE274" s="180"/>
      <c r="BF274" s="180"/>
      <c r="BG274" s="180"/>
      <c r="BH274" s="180"/>
      <c r="BI274" s="180"/>
      <c r="BJ274" s="180"/>
      <c r="BK274" s="180"/>
      <c r="BL274" s="180"/>
      <c r="BM274" s="180"/>
      <c r="BN274" s="180"/>
      <c r="BO274" s="180"/>
      <c r="BP274" s="180"/>
      <c r="BQ274" s="180"/>
      <c r="BR274" s="180"/>
      <c r="BS274" s="180"/>
      <c r="BT274" s="180"/>
      <c r="BU274" s="180"/>
      <c r="BV274" s="180"/>
      <c r="BW274" s="180"/>
      <c r="BX274" s="180"/>
      <c r="BY274" s="180"/>
      <c r="BZ274" s="180"/>
      <c r="CA274" s="180"/>
      <c r="CB274" s="180"/>
      <c r="CC274" s="180"/>
      <c r="CD274" s="180"/>
      <c r="CE274" s="180"/>
      <c r="CF274" s="180"/>
      <c r="CG274" s="180"/>
      <c r="CH274" s="180"/>
      <c r="CI274" s="180"/>
      <c r="CJ274" s="180"/>
      <c r="CK274" s="180"/>
      <c r="CL274" s="180"/>
      <c r="CM274" s="180"/>
      <c r="CN274" s="180"/>
      <c r="CO274" s="180"/>
      <c r="CP274" s="180"/>
      <c r="CQ274" s="180"/>
      <c r="CR274" s="180"/>
      <c r="CS274" s="180"/>
      <c r="CT274" s="180"/>
      <c r="CU274" s="180"/>
      <c r="CV274" s="180"/>
      <c r="CW274" s="180"/>
      <c r="CX274" s="180"/>
      <c r="CY274" s="180"/>
      <c r="CZ274" s="180"/>
    </row>
    <row r="275" spans="1:104" x14ac:dyDescent="0.45">
      <c r="A275" s="180" t="s">
        <v>14</v>
      </c>
      <c r="B275" s="73">
        <v>7</v>
      </c>
      <c r="C275" s="73"/>
      <c r="D275" s="180" t="s">
        <v>271</v>
      </c>
      <c r="E275" s="39">
        <v>43596</v>
      </c>
      <c r="F275" s="179">
        <v>0.53611111111111109</v>
      </c>
      <c r="G275" s="180">
        <v>2</v>
      </c>
      <c r="H275" s="180"/>
      <c r="I275" s="180"/>
      <c r="J275" s="180"/>
      <c r="K275" s="180"/>
      <c r="L275" s="180"/>
      <c r="M275" s="180"/>
      <c r="N275" s="180"/>
      <c r="O275" s="180"/>
      <c r="P275" s="180"/>
      <c r="AS275" s="180"/>
      <c r="AT275" s="180"/>
      <c r="AU275" s="180"/>
      <c r="AV275" s="180"/>
      <c r="AW275" s="180"/>
      <c r="AX275" s="180"/>
      <c r="AY275" s="180"/>
      <c r="AZ275" s="180"/>
      <c r="BA275" s="180"/>
      <c r="BB275" s="180"/>
      <c r="BC275" s="180"/>
      <c r="BD275" s="180"/>
      <c r="BE275" s="180"/>
      <c r="BF275" s="180"/>
      <c r="BG275" s="180"/>
      <c r="BH275" s="180"/>
      <c r="BI275" s="180"/>
      <c r="BJ275" s="180"/>
      <c r="BK275" s="180"/>
      <c r="BL275" s="180"/>
      <c r="BM275" s="180"/>
      <c r="BN275" s="180"/>
      <c r="BO275" s="180"/>
      <c r="BP275" s="180"/>
      <c r="BQ275" s="180"/>
      <c r="BR275" s="180"/>
      <c r="BS275" s="180"/>
      <c r="BT275" s="180"/>
      <c r="BU275" s="180"/>
      <c r="BV275" s="180"/>
      <c r="BW275" s="180"/>
      <c r="BX275" s="180"/>
      <c r="BY275" s="180"/>
      <c r="BZ275" s="180"/>
      <c r="CA275" s="180"/>
      <c r="CB275" s="180"/>
      <c r="CC275" s="180"/>
      <c r="CD275" s="180"/>
      <c r="CE275" s="180"/>
      <c r="CF275" s="180"/>
      <c r="CG275" s="180"/>
      <c r="CH275" s="180"/>
      <c r="CI275" s="180"/>
      <c r="CJ275" s="180"/>
      <c r="CK275" s="180"/>
      <c r="CL275" s="180"/>
      <c r="CM275" s="180"/>
      <c r="CN275" s="180"/>
      <c r="CO275" s="180"/>
      <c r="CP275" s="180"/>
      <c r="CQ275" s="180"/>
      <c r="CR275" s="180"/>
      <c r="CS275" s="180"/>
      <c r="CT275" s="180"/>
      <c r="CU275" s="180"/>
      <c r="CV275" s="180"/>
      <c r="CW275" s="180"/>
      <c r="CX275" s="180"/>
      <c r="CY275" s="180"/>
      <c r="CZ275" s="180"/>
    </row>
    <row r="276" spans="1:104" x14ac:dyDescent="0.45">
      <c r="A276" s="180" t="s">
        <v>14</v>
      </c>
      <c r="B276" s="73">
        <v>7</v>
      </c>
      <c r="C276" s="73"/>
      <c r="D276" s="180" t="s">
        <v>271</v>
      </c>
      <c r="E276" s="39">
        <v>43596</v>
      </c>
      <c r="F276" s="179">
        <v>0.4861111111111111</v>
      </c>
      <c r="G276" s="180">
        <v>1</v>
      </c>
      <c r="H276" s="180" t="s">
        <v>390</v>
      </c>
      <c r="I276" s="180"/>
      <c r="J276" s="180"/>
      <c r="K276" s="180"/>
      <c r="L276" s="180"/>
      <c r="M276" s="180"/>
      <c r="N276" s="180"/>
      <c r="O276" s="180"/>
      <c r="P276" s="180"/>
      <c r="AS276" s="180"/>
      <c r="AT276" s="180"/>
      <c r="AU276" s="180"/>
      <c r="AV276" s="180"/>
      <c r="AW276" s="180"/>
      <c r="AX276" s="180"/>
      <c r="AY276" s="180"/>
      <c r="AZ276" s="180"/>
      <c r="BA276" s="180"/>
      <c r="BB276" s="180"/>
      <c r="BC276" s="180"/>
      <c r="BD276" s="180"/>
      <c r="BE276" s="180"/>
      <c r="BF276" s="180"/>
      <c r="BG276" s="180"/>
      <c r="BH276" s="180"/>
      <c r="BI276" s="180"/>
      <c r="BJ276" s="180"/>
      <c r="BK276" s="180"/>
      <c r="BL276" s="180"/>
      <c r="BM276" s="180"/>
      <c r="BN276" s="180"/>
      <c r="BO276" s="180"/>
      <c r="BP276" s="180"/>
      <c r="BQ276" s="180"/>
      <c r="BR276" s="180"/>
      <c r="BS276" s="180"/>
      <c r="BT276" s="180"/>
      <c r="BU276" s="180"/>
      <c r="BV276" s="180"/>
      <c r="BW276" s="180"/>
      <c r="BX276" s="180"/>
      <c r="BY276" s="180"/>
      <c r="BZ276" s="180"/>
      <c r="CA276" s="180"/>
      <c r="CB276" s="180"/>
      <c r="CC276" s="180"/>
      <c r="CD276" s="180"/>
      <c r="CE276" s="180"/>
      <c r="CF276" s="180"/>
      <c r="CG276" s="180"/>
      <c r="CH276" s="180"/>
      <c r="CI276" s="180"/>
      <c r="CJ276" s="180"/>
      <c r="CK276" s="180"/>
      <c r="CL276" s="180"/>
      <c r="CM276" s="180"/>
      <c r="CN276" s="180"/>
      <c r="CO276" s="180"/>
      <c r="CP276" s="180"/>
      <c r="CQ276" s="180"/>
      <c r="CR276" s="180"/>
      <c r="CS276" s="180"/>
      <c r="CT276" s="180"/>
      <c r="CU276" s="180"/>
      <c r="CV276" s="180"/>
      <c r="CW276" s="180"/>
      <c r="CX276" s="180"/>
      <c r="CY276" s="180"/>
      <c r="CZ276" s="180"/>
    </row>
    <row r="277" spans="1:104" x14ac:dyDescent="0.45">
      <c r="A277" s="180" t="s">
        <v>14</v>
      </c>
      <c r="B277" s="73">
        <v>3</v>
      </c>
      <c r="C277" s="73"/>
      <c r="D277" s="180" t="s">
        <v>271</v>
      </c>
      <c r="E277" s="39">
        <v>43596</v>
      </c>
      <c r="F277" s="179">
        <v>0.52083333333333337</v>
      </c>
      <c r="G277" s="180">
        <v>3</v>
      </c>
      <c r="H277" s="180"/>
      <c r="I277" s="180" t="s">
        <v>391</v>
      </c>
      <c r="J277" s="180"/>
      <c r="K277" s="180"/>
      <c r="L277" s="180"/>
      <c r="M277" s="180"/>
      <c r="N277" s="180"/>
      <c r="O277" s="180"/>
      <c r="P277" s="180"/>
      <c r="AS277" s="180"/>
      <c r="AT277" s="180"/>
      <c r="AU277" s="180"/>
      <c r="AV277" s="180"/>
      <c r="AW277" s="180"/>
      <c r="AX277" s="180"/>
      <c r="AY277" s="180"/>
      <c r="AZ277" s="180"/>
      <c r="BA277" s="180"/>
      <c r="BB277" s="180"/>
      <c r="BC277" s="180"/>
      <c r="BD277" s="180"/>
      <c r="BE277" s="180"/>
      <c r="BF277" s="180"/>
      <c r="BG277" s="180"/>
      <c r="BH277" s="180"/>
      <c r="BI277" s="180"/>
      <c r="BJ277" s="180"/>
      <c r="BK277" s="180"/>
      <c r="BL277" s="180"/>
      <c r="BM277" s="180"/>
      <c r="BN277" s="180"/>
      <c r="BO277" s="180"/>
      <c r="BP277" s="180"/>
      <c r="BQ277" s="180"/>
      <c r="BR277" s="180"/>
      <c r="BS277" s="180"/>
      <c r="BT277" s="180"/>
      <c r="BU277" s="180"/>
      <c r="BV277" s="180"/>
      <c r="BW277" s="180"/>
      <c r="BX277" s="180"/>
      <c r="BY277" s="180"/>
      <c r="BZ277" s="180"/>
      <c r="CA277" s="180"/>
      <c r="CB277" s="180"/>
      <c r="CC277" s="180"/>
      <c r="CD277" s="180"/>
      <c r="CE277" s="180"/>
      <c r="CF277" s="180"/>
      <c r="CG277" s="180"/>
      <c r="CH277" s="180"/>
      <c r="CI277" s="180"/>
      <c r="CJ277" s="180"/>
      <c r="CK277" s="180"/>
      <c r="CL277" s="180"/>
      <c r="CM277" s="180"/>
      <c r="CN277" s="180"/>
      <c r="CO277" s="180"/>
      <c r="CP277" s="180"/>
      <c r="CQ277" s="180"/>
      <c r="CR277" s="180"/>
      <c r="CS277" s="180"/>
      <c r="CT277" s="180"/>
      <c r="CU277" s="180"/>
      <c r="CV277" s="180"/>
      <c r="CW277" s="180"/>
      <c r="CX277" s="180"/>
      <c r="CY277" s="180"/>
      <c r="CZ277" s="180"/>
    </row>
    <row r="278" spans="1:104" x14ac:dyDescent="0.45">
      <c r="A278" s="180" t="s">
        <v>14</v>
      </c>
      <c r="B278" s="73">
        <v>30</v>
      </c>
      <c r="C278" s="73"/>
      <c r="D278" s="180" t="s">
        <v>271</v>
      </c>
      <c r="E278" s="39">
        <v>43596</v>
      </c>
      <c r="F278" s="179">
        <v>0.33333333333333331</v>
      </c>
      <c r="G278" s="180">
        <v>10</v>
      </c>
      <c r="H278" s="180" t="s">
        <v>325</v>
      </c>
      <c r="I278" s="180"/>
      <c r="J278" s="180"/>
      <c r="K278" s="180"/>
      <c r="L278" s="180"/>
      <c r="M278" s="180"/>
      <c r="N278" s="180"/>
      <c r="O278" s="180"/>
      <c r="P278" s="180"/>
      <c r="AS278" s="180"/>
      <c r="AT278" s="180"/>
      <c r="AU278" s="180"/>
      <c r="AV278" s="180"/>
      <c r="AW278" s="180"/>
      <c r="AX278" s="180"/>
      <c r="AY278" s="180"/>
      <c r="AZ278" s="180"/>
      <c r="BA278" s="180"/>
      <c r="BB278" s="180"/>
      <c r="BC278" s="180"/>
      <c r="BD278" s="180"/>
      <c r="BE278" s="180"/>
      <c r="BF278" s="180"/>
      <c r="BG278" s="180"/>
      <c r="BH278" s="180"/>
      <c r="BI278" s="180"/>
      <c r="BJ278" s="180"/>
      <c r="BK278" s="180"/>
      <c r="BL278" s="180"/>
      <c r="BM278" s="180"/>
      <c r="BN278" s="180"/>
      <c r="BO278" s="180"/>
      <c r="BP278" s="180"/>
      <c r="BQ278" s="180"/>
      <c r="BR278" s="180"/>
      <c r="BS278" s="180"/>
      <c r="BT278" s="180"/>
      <c r="BU278" s="180"/>
      <c r="BV278" s="180"/>
      <c r="BW278" s="180"/>
      <c r="BX278" s="180"/>
      <c r="BY278" s="180"/>
      <c r="BZ278" s="180"/>
      <c r="CA278" s="180"/>
      <c r="CB278" s="180"/>
      <c r="CC278" s="180"/>
      <c r="CD278" s="180"/>
      <c r="CE278" s="180"/>
      <c r="CF278" s="180"/>
      <c r="CG278" s="180"/>
      <c r="CH278" s="180"/>
      <c r="CI278" s="180"/>
      <c r="CJ278" s="180"/>
      <c r="CK278" s="180"/>
      <c r="CL278" s="180"/>
      <c r="CM278" s="180"/>
      <c r="CN278" s="180"/>
      <c r="CO278" s="180"/>
      <c r="CP278" s="180"/>
      <c r="CQ278" s="180"/>
      <c r="CR278" s="180"/>
      <c r="CS278" s="180"/>
      <c r="CT278" s="180"/>
      <c r="CU278" s="180"/>
      <c r="CV278" s="180"/>
      <c r="CW278" s="180"/>
      <c r="CX278" s="180"/>
      <c r="CY278" s="180"/>
      <c r="CZ278" s="180"/>
    </row>
    <row r="279" spans="1:104" x14ac:dyDescent="0.45">
      <c r="A279" s="180" t="s">
        <v>14</v>
      </c>
      <c r="B279" s="73">
        <v>3</v>
      </c>
      <c r="C279" s="73"/>
      <c r="D279" s="180" t="s">
        <v>271</v>
      </c>
      <c r="E279" s="39">
        <v>43596</v>
      </c>
      <c r="F279" s="179">
        <v>0.72499999999999998</v>
      </c>
      <c r="G279" s="180">
        <v>1</v>
      </c>
      <c r="H279" s="180"/>
      <c r="I279" s="180"/>
      <c r="J279" s="180"/>
      <c r="K279" s="180"/>
      <c r="L279" s="180"/>
      <c r="M279" s="180"/>
      <c r="N279" s="180"/>
      <c r="O279" s="180"/>
      <c r="P279" s="180"/>
      <c r="AS279" s="180"/>
      <c r="AT279" s="180"/>
      <c r="AU279" s="180"/>
      <c r="AV279" s="180"/>
      <c r="AW279" s="180"/>
      <c r="AX279" s="180"/>
      <c r="AY279" s="180"/>
      <c r="AZ279" s="180"/>
      <c r="BA279" s="180"/>
      <c r="BB279" s="180"/>
      <c r="BC279" s="180"/>
      <c r="BD279" s="180"/>
      <c r="BE279" s="180"/>
      <c r="BF279" s="180"/>
      <c r="BG279" s="180"/>
      <c r="BH279" s="180"/>
      <c r="BI279" s="180"/>
      <c r="BJ279" s="180"/>
      <c r="BK279" s="180"/>
      <c r="BL279" s="180"/>
      <c r="BM279" s="180"/>
      <c r="BN279" s="180"/>
      <c r="BO279" s="180"/>
      <c r="BP279" s="180"/>
      <c r="BQ279" s="180"/>
      <c r="BR279" s="180"/>
      <c r="BS279" s="180"/>
      <c r="BT279" s="180"/>
      <c r="BU279" s="180"/>
      <c r="BV279" s="180"/>
      <c r="BW279" s="180"/>
      <c r="BX279" s="180"/>
      <c r="BY279" s="180"/>
      <c r="BZ279" s="180"/>
      <c r="CA279" s="180"/>
      <c r="CB279" s="180"/>
      <c r="CC279" s="180"/>
      <c r="CD279" s="180"/>
      <c r="CE279" s="180"/>
      <c r="CF279" s="180"/>
      <c r="CG279" s="180"/>
      <c r="CH279" s="180"/>
      <c r="CI279" s="180"/>
      <c r="CJ279" s="180"/>
      <c r="CK279" s="180"/>
      <c r="CL279" s="180"/>
      <c r="CM279" s="180"/>
      <c r="CN279" s="180"/>
      <c r="CO279" s="180"/>
      <c r="CP279" s="180"/>
      <c r="CQ279" s="180"/>
      <c r="CR279" s="180"/>
      <c r="CS279" s="180"/>
      <c r="CT279" s="180"/>
      <c r="CU279" s="180"/>
      <c r="CV279" s="180"/>
      <c r="CW279" s="180"/>
      <c r="CX279" s="180"/>
      <c r="CY279" s="180"/>
      <c r="CZ279" s="180"/>
    </row>
    <row r="280" spans="1:104" x14ac:dyDescent="0.45">
      <c r="A280" s="180" t="s">
        <v>14</v>
      </c>
      <c r="B280" s="73">
        <v>30</v>
      </c>
      <c r="C280" s="73"/>
      <c r="D280" s="180" t="s">
        <v>271</v>
      </c>
      <c r="E280" s="39">
        <v>43596</v>
      </c>
      <c r="F280" s="179">
        <v>0.42638888888888887</v>
      </c>
      <c r="G280" s="180">
        <v>1</v>
      </c>
      <c r="H280" s="180"/>
      <c r="I280" s="180"/>
      <c r="J280" s="180"/>
      <c r="K280" s="180"/>
      <c r="L280" s="180"/>
      <c r="M280" s="180"/>
      <c r="N280" s="180"/>
      <c r="O280" s="180"/>
      <c r="P280" s="180"/>
      <c r="AS280" s="180"/>
      <c r="AT280" s="180"/>
      <c r="AU280" s="180"/>
      <c r="AV280" s="180"/>
      <c r="AW280" s="180"/>
      <c r="AX280" s="180"/>
      <c r="AY280" s="180"/>
      <c r="AZ280" s="180"/>
      <c r="BA280" s="180"/>
      <c r="BB280" s="180"/>
      <c r="BC280" s="180"/>
      <c r="BD280" s="180"/>
      <c r="BE280" s="180"/>
      <c r="BF280" s="180"/>
      <c r="BG280" s="180"/>
      <c r="BH280" s="180"/>
      <c r="BI280" s="180"/>
      <c r="BJ280" s="180"/>
      <c r="BK280" s="180"/>
      <c r="BL280" s="180"/>
      <c r="BM280" s="180"/>
      <c r="BN280" s="180"/>
      <c r="BO280" s="180"/>
      <c r="BP280" s="180"/>
      <c r="BQ280" s="180"/>
      <c r="BR280" s="180"/>
      <c r="BS280" s="180"/>
      <c r="BT280" s="180"/>
      <c r="BU280" s="180"/>
      <c r="BV280" s="180"/>
      <c r="BW280" s="180"/>
      <c r="BX280" s="180"/>
      <c r="BY280" s="180"/>
      <c r="BZ280" s="180"/>
      <c r="CA280" s="180"/>
      <c r="CB280" s="180"/>
      <c r="CC280" s="180"/>
      <c r="CD280" s="180"/>
      <c r="CE280" s="180"/>
      <c r="CF280" s="180"/>
      <c r="CG280" s="180"/>
      <c r="CH280" s="180"/>
      <c r="CI280" s="180"/>
      <c r="CJ280" s="180"/>
      <c r="CK280" s="180"/>
      <c r="CL280" s="180"/>
      <c r="CM280" s="180"/>
      <c r="CN280" s="180"/>
      <c r="CO280" s="180"/>
      <c r="CP280" s="180"/>
      <c r="CQ280" s="180"/>
      <c r="CR280" s="180"/>
      <c r="CS280" s="180"/>
      <c r="CT280" s="180"/>
      <c r="CU280" s="180"/>
      <c r="CV280" s="180"/>
      <c r="CW280" s="180"/>
      <c r="CX280" s="180"/>
      <c r="CY280" s="180"/>
      <c r="CZ280" s="180"/>
    </row>
    <row r="281" spans="1:104" x14ac:dyDescent="0.45">
      <c r="A281" s="180" t="s">
        <v>14</v>
      </c>
      <c r="B281" s="73">
        <v>5</v>
      </c>
      <c r="C281" s="73"/>
      <c r="D281" s="180" t="s">
        <v>271</v>
      </c>
      <c r="E281" s="39">
        <v>43596</v>
      </c>
      <c r="F281" s="179">
        <v>0.66666666666666663</v>
      </c>
      <c r="G281" s="180">
        <v>7</v>
      </c>
      <c r="H281" s="180" t="s">
        <v>392</v>
      </c>
      <c r="I281" s="180"/>
      <c r="J281" s="180"/>
      <c r="K281" s="180"/>
      <c r="L281" s="180"/>
      <c r="M281" s="180"/>
      <c r="N281" s="180"/>
      <c r="O281" s="180"/>
      <c r="P281" s="180"/>
      <c r="AS281" s="180"/>
      <c r="AT281" s="180"/>
      <c r="AU281" s="180"/>
      <c r="AV281" s="180"/>
      <c r="AW281" s="180"/>
      <c r="AX281" s="180"/>
      <c r="AY281" s="180"/>
      <c r="AZ281" s="180"/>
      <c r="BA281" s="180"/>
      <c r="BB281" s="180"/>
      <c r="BC281" s="180"/>
      <c r="BD281" s="180"/>
      <c r="BE281" s="180"/>
      <c r="BF281" s="180"/>
      <c r="BG281" s="180"/>
      <c r="BH281" s="180"/>
      <c r="BI281" s="180"/>
      <c r="BJ281" s="180"/>
      <c r="BK281" s="180"/>
      <c r="BL281" s="180"/>
      <c r="BM281" s="180"/>
      <c r="BN281" s="180"/>
      <c r="BO281" s="180"/>
      <c r="BP281" s="180"/>
      <c r="BQ281" s="180"/>
      <c r="BR281" s="180"/>
      <c r="BS281" s="180"/>
      <c r="BT281" s="180"/>
      <c r="BU281" s="180"/>
      <c r="BV281" s="180"/>
      <c r="BW281" s="180"/>
      <c r="BX281" s="180"/>
      <c r="BY281" s="180"/>
      <c r="BZ281" s="180"/>
      <c r="CA281" s="180"/>
      <c r="CB281" s="180"/>
      <c r="CC281" s="180"/>
      <c r="CD281" s="180"/>
      <c r="CE281" s="180"/>
      <c r="CF281" s="180"/>
      <c r="CG281" s="180"/>
      <c r="CH281" s="180"/>
      <c r="CI281" s="180"/>
      <c r="CJ281" s="180"/>
      <c r="CK281" s="180"/>
      <c r="CL281" s="180"/>
      <c r="CM281" s="180"/>
      <c r="CN281" s="180"/>
      <c r="CO281" s="180"/>
      <c r="CP281" s="180"/>
      <c r="CQ281" s="180"/>
      <c r="CR281" s="180"/>
      <c r="CS281" s="180"/>
      <c r="CT281" s="180"/>
      <c r="CU281" s="180"/>
      <c r="CV281" s="180"/>
      <c r="CW281" s="180"/>
      <c r="CX281" s="180"/>
      <c r="CY281" s="180"/>
      <c r="CZ281" s="180"/>
    </row>
    <row r="282" spans="1:104" x14ac:dyDescent="0.45">
      <c r="A282" s="180" t="s">
        <v>14</v>
      </c>
      <c r="B282" s="73">
        <v>4</v>
      </c>
      <c r="C282" s="73"/>
      <c r="D282" s="180" t="s">
        <v>271</v>
      </c>
      <c r="E282" s="39">
        <v>43596</v>
      </c>
      <c r="F282" s="179">
        <v>0.5756944444444444</v>
      </c>
      <c r="G282" s="180">
        <v>2</v>
      </c>
      <c r="H282" s="180"/>
      <c r="I282" s="180"/>
      <c r="J282" s="180"/>
      <c r="K282" s="180"/>
      <c r="L282" s="180"/>
      <c r="M282" s="180"/>
      <c r="N282" s="180"/>
      <c r="O282" s="180"/>
      <c r="P282" s="180"/>
      <c r="AS282" s="180"/>
      <c r="AT282" s="180"/>
      <c r="AU282" s="180"/>
      <c r="AV282" s="180"/>
      <c r="AW282" s="180"/>
      <c r="AX282" s="180"/>
      <c r="AY282" s="180"/>
      <c r="AZ282" s="180"/>
      <c r="BA282" s="180"/>
      <c r="BB282" s="180"/>
      <c r="BC282" s="180"/>
      <c r="BD282" s="180"/>
      <c r="BE282" s="180"/>
      <c r="BF282" s="180"/>
      <c r="BG282" s="180"/>
      <c r="BH282" s="180"/>
      <c r="BI282" s="180"/>
      <c r="BJ282" s="180"/>
      <c r="BK282" s="180"/>
      <c r="BL282" s="180"/>
      <c r="BM282" s="180"/>
      <c r="BN282" s="180"/>
      <c r="BO282" s="180"/>
      <c r="BP282" s="180"/>
      <c r="BQ282" s="180"/>
      <c r="BR282" s="180"/>
      <c r="BS282" s="180"/>
      <c r="BT282" s="180"/>
      <c r="BU282" s="180"/>
      <c r="BV282" s="180"/>
      <c r="BW282" s="180"/>
      <c r="BX282" s="180"/>
      <c r="BY282" s="180"/>
      <c r="BZ282" s="180"/>
      <c r="CA282" s="180"/>
      <c r="CB282" s="180"/>
      <c r="CC282" s="180"/>
      <c r="CD282" s="180"/>
      <c r="CE282" s="180"/>
      <c r="CF282" s="180"/>
      <c r="CG282" s="180"/>
      <c r="CH282" s="180"/>
      <c r="CI282" s="180"/>
      <c r="CJ282" s="180"/>
      <c r="CK282" s="180"/>
      <c r="CL282" s="180"/>
      <c r="CM282" s="180"/>
      <c r="CN282" s="180"/>
      <c r="CO282" s="180"/>
      <c r="CP282" s="180"/>
      <c r="CQ282" s="180"/>
      <c r="CR282" s="180"/>
      <c r="CS282" s="180"/>
      <c r="CT282" s="180"/>
      <c r="CU282" s="180"/>
      <c r="CV282" s="180"/>
      <c r="CW282" s="180"/>
      <c r="CX282" s="180"/>
      <c r="CY282" s="180"/>
      <c r="CZ282" s="180"/>
    </row>
    <row r="283" spans="1:104" x14ac:dyDescent="0.45">
      <c r="A283" s="180" t="s">
        <v>14</v>
      </c>
      <c r="B283" s="73">
        <v>6</v>
      </c>
      <c r="C283" s="73"/>
      <c r="D283" s="180" t="s">
        <v>271</v>
      </c>
      <c r="E283" s="39">
        <v>43596</v>
      </c>
      <c r="F283" s="179">
        <v>0.80486111111111114</v>
      </c>
      <c r="G283" s="180">
        <v>1</v>
      </c>
      <c r="H283" s="180"/>
      <c r="I283" s="180"/>
      <c r="J283" s="180"/>
      <c r="K283" s="180"/>
      <c r="L283" s="180"/>
      <c r="M283" s="180"/>
      <c r="N283" s="180"/>
      <c r="O283" s="180"/>
      <c r="P283" s="180"/>
      <c r="AS283" s="180"/>
      <c r="AT283" s="180"/>
      <c r="AU283" s="180"/>
      <c r="AV283" s="180"/>
      <c r="AW283" s="180"/>
      <c r="AX283" s="180"/>
      <c r="AY283" s="180"/>
      <c r="AZ283" s="180"/>
      <c r="BA283" s="180"/>
      <c r="BB283" s="180"/>
      <c r="BC283" s="180"/>
      <c r="BD283" s="180"/>
      <c r="BE283" s="180"/>
      <c r="BF283" s="180"/>
      <c r="BG283" s="180"/>
      <c r="BH283" s="180"/>
      <c r="BI283" s="180"/>
      <c r="BJ283" s="180"/>
      <c r="BK283" s="180"/>
      <c r="BL283" s="180"/>
      <c r="BM283" s="180"/>
      <c r="BN283" s="180"/>
      <c r="BO283" s="180"/>
      <c r="BP283" s="180"/>
      <c r="BQ283" s="180"/>
      <c r="BR283" s="180"/>
      <c r="BS283" s="180"/>
      <c r="BT283" s="180"/>
      <c r="BU283" s="180"/>
      <c r="BV283" s="180"/>
      <c r="BW283" s="180"/>
      <c r="BX283" s="180"/>
      <c r="BY283" s="180"/>
      <c r="BZ283" s="180"/>
      <c r="CA283" s="180"/>
      <c r="CB283" s="180"/>
      <c r="CC283" s="180"/>
      <c r="CD283" s="180"/>
      <c r="CE283" s="180"/>
      <c r="CF283" s="180"/>
      <c r="CG283" s="180"/>
      <c r="CH283" s="180"/>
      <c r="CI283" s="180"/>
      <c r="CJ283" s="180"/>
      <c r="CK283" s="180"/>
      <c r="CL283" s="180"/>
      <c r="CM283" s="180"/>
      <c r="CN283" s="180"/>
      <c r="CO283" s="180"/>
      <c r="CP283" s="180"/>
      <c r="CQ283" s="180"/>
      <c r="CR283" s="180"/>
      <c r="CS283" s="180"/>
      <c r="CT283" s="180"/>
      <c r="CU283" s="180"/>
      <c r="CV283" s="180"/>
      <c r="CW283" s="180"/>
      <c r="CX283" s="180"/>
      <c r="CY283" s="180"/>
      <c r="CZ283" s="180"/>
    </row>
    <row r="284" spans="1:104" x14ac:dyDescent="0.45">
      <c r="A284" s="180" t="s">
        <v>14</v>
      </c>
      <c r="B284" s="73">
        <v>3</v>
      </c>
      <c r="C284" s="73"/>
      <c r="D284" s="180" t="s">
        <v>271</v>
      </c>
      <c r="E284" s="39">
        <v>43596</v>
      </c>
      <c r="F284" s="179">
        <v>0.33194444444444443</v>
      </c>
      <c r="G284" s="180">
        <v>2</v>
      </c>
      <c r="H284" s="180"/>
      <c r="I284" s="180"/>
      <c r="J284" s="180"/>
      <c r="K284" s="180"/>
      <c r="L284" s="180"/>
      <c r="M284" s="180"/>
      <c r="N284" s="180"/>
      <c r="O284" s="180"/>
      <c r="P284" s="180"/>
      <c r="AS284" s="180"/>
      <c r="AT284" s="180"/>
      <c r="AU284" s="180"/>
      <c r="AV284" s="180"/>
      <c r="AW284" s="180"/>
      <c r="AX284" s="180"/>
      <c r="AY284" s="180"/>
      <c r="AZ284" s="180"/>
      <c r="BA284" s="180"/>
      <c r="BB284" s="180"/>
      <c r="BC284" s="180"/>
      <c r="BD284" s="180"/>
      <c r="BE284" s="180"/>
      <c r="BF284" s="180"/>
      <c r="BG284" s="180"/>
      <c r="BH284" s="180"/>
      <c r="BI284" s="180"/>
      <c r="BJ284" s="180"/>
      <c r="BK284" s="180"/>
      <c r="BL284" s="180"/>
      <c r="BM284" s="180"/>
      <c r="BN284" s="180"/>
      <c r="BO284" s="180"/>
      <c r="BP284" s="180"/>
      <c r="BQ284" s="180"/>
      <c r="BR284" s="180"/>
      <c r="BS284" s="180"/>
      <c r="BT284" s="180"/>
      <c r="BU284" s="180"/>
      <c r="BV284" s="180"/>
      <c r="BW284" s="180"/>
      <c r="BX284" s="180"/>
      <c r="BY284" s="180"/>
      <c r="BZ284" s="180"/>
      <c r="CA284" s="180"/>
      <c r="CB284" s="180"/>
      <c r="CC284" s="180"/>
      <c r="CD284" s="180"/>
      <c r="CE284" s="180"/>
      <c r="CF284" s="180"/>
      <c r="CG284" s="180"/>
      <c r="CH284" s="180"/>
      <c r="CI284" s="180"/>
      <c r="CJ284" s="180"/>
      <c r="CK284" s="180"/>
      <c r="CL284" s="180"/>
      <c r="CM284" s="180"/>
      <c r="CN284" s="180"/>
      <c r="CO284" s="180"/>
      <c r="CP284" s="180"/>
      <c r="CQ284" s="180"/>
      <c r="CR284" s="180"/>
      <c r="CS284" s="180"/>
      <c r="CT284" s="180"/>
      <c r="CU284" s="180"/>
      <c r="CV284" s="180"/>
      <c r="CW284" s="180"/>
      <c r="CX284" s="180"/>
      <c r="CY284" s="180"/>
      <c r="CZ284" s="180"/>
    </row>
    <row r="285" spans="1:104" x14ac:dyDescent="0.45">
      <c r="A285" s="180" t="s">
        <v>14</v>
      </c>
      <c r="B285" s="73">
        <v>2</v>
      </c>
      <c r="C285" s="73"/>
      <c r="D285" s="180" t="s">
        <v>271</v>
      </c>
      <c r="E285" s="39">
        <v>43596</v>
      </c>
      <c r="F285" s="179">
        <v>0.6743055555555556</v>
      </c>
      <c r="G285" s="180">
        <v>2</v>
      </c>
      <c r="H285" s="180"/>
      <c r="I285" s="180"/>
      <c r="J285" s="180"/>
      <c r="K285" s="180"/>
      <c r="L285" s="180"/>
      <c r="M285" s="180"/>
      <c r="N285" s="180"/>
      <c r="O285" s="180"/>
      <c r="P285" s="180"/>
      <c r="AS285" s="180"/>
      <c r="AT285" s="180"/>
      <c r="AU285" s="180"/>
      <c r="AV285" s="180"/>
      <c r="AW285" s="180"/>
      <c r="AX285" s="180"/>
      <c r="AY285" s="180"/>
      <c r="AZ285" s="180"/>
      <c r="BA285" s="180"/>
      <c r="BB285" s="180"/>
      <c r="BC285" s="180"/>
      <c r="BD285" s="180"/>
      <c r="BE285" s="180"/>
      <c r="BF285" s="180"/>
      <c r="BG285" s="180"/>
      <c r="BH285" s="180"/>
      <c r="BI285" s="180"/>
      <c r="BJ285" s="180"/>
      <c r="BK285" s="180"/>
      <c r="BL285" s="180"/>
      <c r="BM285" s="180"/>
      <c r="BN285" s="180"/>
      <c r="BO285" s="180"/>
      <c r="BP285" s="180"/>
      <c r="BQ285" s="180"/>
      <c r="BR285" s="180"/>
      <c r="BS285" s="180"/>
      <c r="BT285" s="180"/>
      <c r="BU285" s="180"/>
      <c r="BV285" s="180"/>
      <c r="BW285" s="180"/>
      <c r="BX285" s="180"/>
      <c r="BY285" s="180"/>
      <c r="BZ285" s="180"/>
      <c r="CA285" s="180"/>
      <c r="CB285" s="180"/>
      <c r="CC285" s="180"/>
      <c r="CD285" s="180"/>
      <c r="CE285" s="180"/>
      <c r="CF285" s="180"/>
      <c r="CG285" s="180"/>
      <c r="CH285" s="180"/>
      <c r="CI285" s="180"/>
      <c r="CJ285" s="180"/>
      <c r="CK285" s="180"/>
      <c r="CL285" s="180"/>
      <c r="CM285" s="180"/>
      <c r="CN285" s="180"/>
      <c r="CO285" s="180"/>
      <c r="CP285" s="180"/>
      <c r="CQ285" s="180"/>
      <c r="CR285" s="180"/>
      <c r="CS285" s="180"/>
      <c r="CT285" s="180"/>
      <c r="CU285" s="180"/>
      <c r="CV285" s="180"/>
      <c r="CW285" s="180"/>
      <c r="CX285" s="180"/>
      <c r="CY285" s="180"/>
      <c r="CZ285" s="180"/>
    </row>
    <row r="286" spans="1:104" x14ac:dyDescent="0.45">
      <c r="A286" s="180" t="s">
        <v>14</v>
      </c>
      <c r="B286" s="73">
        <v>11</v>
      </c>
      <c r="C286" s="73"/>
      <c r="D286" s="180" t="s">
        <v>271</v>
      </c>
      <c r="E286" s="39">
        <v>43596</v>
      </c>
      <c r="F286" s="179">
        <v>0.47916666666666669</v>
      </c>
      <c r="G286" s="180">
        <v>4</v>
      </c>
      <c r="H286" s="180" t="s">
        <v>393</v>
      </c>
      <c r="I286" s="180"/>
      <c r="J286" s="180"/>
      <c r="K286" s="180"/>
      <c r="L286" s="180"/>
      <c r="M286" s="180"/>
      <c r="N286" s="180"/>
      <c r="O286" s="180"/>
      <c r="P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0"/>
      <c r="BR286" s="180"/>
      <c r="BS286" s="180"/>
      <c r="BT286" s="180"/>
      <c r="BU286" s="180"/>
      <c r="BV286" s="180"/>
      <c r="BW286" s="180"/>
      <c r="BX286" s="180"/>
      <c r="BY286" s="180"/>
      <c r="BZ286" s="180"/>
      <c r="CA286" s="180"/>
      <c r="CB286" s="180"/>
      <c r="CC286" s="180"/>
      <c r="CD286" s="180"/>
      <c r="CE286" s="180"/>
      <c r="CF286" s="180"/>
      <c r="CG286" s="180"/>
      <c r="CH286" s="180"/>
      <c r="CI286" s="180"/>
      <c r="CJ286" s="180"/>
      <c r="CK286" s="180"/>
      <c r="CL286" s="180"/>
      <c r="CM286" s="180"/>
      <c r="CN286" s="180"/>
      <c r="CO286" s="180"/>
      <c r="CP286" s="180"/>
      <c r="CQ286" s="180"/>
      <c r="CR286" s="180"/>
      <c r="CS286" s="180"/>
      <c r="CT286" s="180"/>
      <c r="CU286" s="180"/>
      <c r="CV286" s="180"/>
      <c r="CW286" s="180"/>
      <c r="CX286" s="180"/>
      <c r="CY286" s="180"/>
      <c r="CZ286" s="180"/>
    </row>
    <row r="287" spans="1:104" x14ac:dyDescent="0.45">
      <c r="A287" s="180" t="s">
        <v>14</v>
      </c>
      <c r="B287" s="73">
        <v>5</v>
      </c>
      <c r="C287" s="73">
        <v>5</v>
      </c>
      <c r="D287" s="180" t="s">
        <v>288</v>
      </c>
      <c r="E287" s="39">
        <v>43596</v>
      </c>
      <c r="F287" s="179">
        <v>0.39861111111111108</v>
      </c>
      <c r="G287" s="180">
        <v>8</v>
      </c>
      <c r="H287" s="180"/>
      <c r="I287" s="180"/>
      <c r="J287" s="180"/>
      <c r="K287" s="180"/>
      <c r="L287" s="180"/>
      <c r="M287" s="180"/>
      <c r="N287" s="180"/>
      <c r="O287" s="180"/>
      <c r="P287" s="180"/>
      <c r="AS287" s="180"/>
      <c r="AT287" s="180"/>
      <c r="AU287" s="180"/>
      <c r="AV287" s="180"/>
      <c r="AW287" s="180"/>
      <c r="AX287" s="180"/>
      <c r="AY287" s="180"/>
      <c r="AZ287" s="180"/>
      <c r="BA287" s="180"/>
      <c r="BB287" s="180"/>
      <c r="BC287" s="180"/>
      <c r="BD287" s="180"/>
      <c r="BE287" s="180"/>
      <c r="BF287" s="180"/>
      <c r="BG287" s="180"/>
      <c r="BH287" s="180"/>
      <c r="BI287" s="180"/>
      <c r="BJ287" s="180"/>
      <c r="BK287" s="180"/>
      <c r="BL287" s="180"/>
      <c r="BM287" s="180"/>
      <c r="BN287" s="180"/>
      <c r="BO287" s="180"/>
      <c r="BP287" s="180"/>
      <c r="BQ287" s="180"/>
      <c r="BR287" s="180"/>
      <c r="BS287" s="180"/>
      <c r="BT287" s="180"/>
      <c r="BU287" s="180"/>
      <c r="BV287" s="180"/>
      <c r="BW287" s="180"/>
      <c r="BX287" s="180"/>
      <c r="BY287" s="180"/>
      <c r="BZ287" s="180"/>
      <c r="CA287" s="180"/>
      <c r="CB287" s="180"/>
      <c r="CC287" s="180"/>
      <c r="CD287" s="180"/>
      <c r="CE287" s="180"/>
      <c r="CF287" s="180"/>
      <c r="CG287" s="180"/>
      <c r="CH287" s="180"/>
      <c r="CI287" s="180"/>
      <c r="CJ287" s="180"/>
      <c r="CK287" s="180"/>
      <c r="CL287" s="180"/>
      <c r="CM287" s="180"/>
      <c r="CN287" s="180"/>
      <c r="CO287" s="180"/>
      <c r="CP287" s="180"/>
      <c r="CQ287" s="180"/>
      <c r="CR287" s="180"/>
      <c r="CS287" s="180"/>
      <c r="CT287" s="180"/>
      <c r="CU287" s="180"/>
      <c r="CV287" s="180"/>
      <c r="CW287" s="180"/>
      <c r="CX287" s="180"/>
      <c r="CY287" s="180"/>
      <c r="CZ287" s="180"/>
    </row>
    <row r="288" spans="1:104" x14ac:dyDescent="0.45">
      <c r="A288" s="180" t="s">
        <v>14</v>
      </c>
      <c r="B288" s="73">
        <v>5</v>
      </c>
      <c r="C288" s="73"/>
      <c r="D288" s="180" t="s">
        <v>288</v>
      </c>
      <c r="E288" s="39">
        <v>43596</v>
      </c>
      <c r="F288" s="179">
        <v>0.39861111111111108</v>
      </c>
      <c r="G288" s="180">
        <v>8</v>
      </c>
      <c r="H288" s="180"/>
      <c r="I288" s="180"/>
      <c r="J288" s="180"/>
      <c r="K288" s="180"/>
      <c r="L288" s="180"/>
      <c r="M288" s="180"/>
      <c r="N288" s="180"/>
      <c r="O288" s="180"/>
      <c r="P288" s="180"/>
      <c r="AS288" s="180"/>
      <c r="AT288" s="180"/>
      <c r="AU288" s="180"/>
      <c r="AV288" s="180"/>
      <c r="AW288" s="180"/>
      <c r="AX288" s="180"/>
      <c r="AY288" s="180"/>
      <c r="AZ288" s="180"/>
      <c r="BA288" s="180"/>
      <c r="BB288" s="180"/>
      <c r="BC288" s="180"/>
      <c r="BD288" s="180"/>
      <c r="BE288" s="180"/>
      <c r="BF288" s="180"/>
      <c r="BG288" s="180"/>
      <c r="BH288" s="180"/>
      <c r="BI288" s="180"/>
      <c r="BJ288" s="180"/>
      <c r="BK288" s="180"/>
      <c r="BL288" s="180"/>
      <c r="BM288" s="180"/>
      <c r="BN288" s="180"/>
      <c r="BO288" s="180"/>
      <c r="BP288" s="180"/>
      <c r="BQ288" s="180"/>
      <c r="BR288" s="180"/>
      <c r="BS288" s="180"/>
      <c r="BT288" s="180"/>
      <c r="BU288" s="180"/>
      <c r="BV288" s="180"/>
      <c r="BW288" s="180"/>
      <c r="BX288" s="180"/>
      <c r="BY288" s="180"/>
      <c r="BZ288" s="180"/>
      <c r="CA288" s="180"/>
      <c r="CB288" s="180"/>
      <c r="CC288" s="180"/>
      <c r="CD288" s="180"/>
      <c r="CE288" s="180"/>
      <c r="CF288" s="180"/>
      <c r="CG288" s="180"/>
      <c r="CH288" s="180"/>
      <c r="CI288" s="180"/>
      <c r="CJ288" s="180"/>
      <c r="CK288" s="180"/>
      <c r="CL288" s="180"/>
      <c r="CM288" s="180"/>
      <c r="CN288" s="180"/>
      <c r="CO288" s="180"/>
      <c r="CP288" s="180"/>
      <c r="CQ288" s="180"/>
      <c r="CR288" s="180"/>
      <c r="CS288" s="180"/>
      <c r="CT288" s="180"/>
      <c r="CU288" s="180"/>
      <c r="CV288" s="180"/>
      <c r="CW288" s="180"/>
      <c r="CX288" s="180"/>
      <c r="CY288" s="180"/>
      <c r="CZ288" s="180"/>
    </row>
    <row r="289" spans="1:104" x14ac:dyDescent="0.45">
      <c r="A289" s="180" t="s">
        <v>14</v>
      </c>
      <c r="B289" s="73">
        <v>12</v>
      </c>
      <c r="C289" s="73"/>
      <c r="D289" s="180" t="s">
        <v>394</v>
      </c>
      <c r="E289" s="39">
        <v>43597</v>
      </c>
      <c r="F289" s="179">
        <v>0.41736111111111113</v>
      </c>
      <c r="G289" s="180">
        <v>1</v>
      </c>
      <c r="H289" s="180"/>
      <c r="I289" s="180"/>
      <c r="J289" s="180"/>
      <c r="K289" s="180"/>
      <c r="L289" s="180"/>
      <c r="M289" s="180"/>
      <c r="N289" s="180"/>
      <c r="O289" s="180"/>
      <c r="P289" s="180"/>
      <c r="AS289" s="180"/>
      <c r="AT289" s="180"/>
      <c r="AU289" s="180"/>
      <c r="AV289" s="180"/>
      <c r="AW289" s="180"/>
      <c r="AX289" s="180"/>
      <c r="AY289" s="180"/>
      <c r="AZ289" s="180"/>
      <c r="BA289" s="180"/>
      <c r="BB289" s="180"/>
      <c r="BC289" s="180"/>
      <c r="BD289" s="180"/>
      <c r="BE289" s="180"/>
      <c r="BF289" s="180"/>
      <c r="BG289" s="180"/>
      <c r="BH289" s="180"/>
      <c r="BI289" s="180"/>
      <c r="BJ289" s="180"/>
      <c r="BK289" s="180"/>
      <c r="BL289" s="180"/>
      <c r="BM289" s="180"/>
      <c r="BN289" s="180"/>
      <c r="BO289" s="180"/>
      <c r="BP289" s="180"/>
      <c r="BQ289" s="180"/>
      <c r="BR289" s="180"/>
      <c r="BS289" s="180"/>
      <c r="BT289" s="180"/>
      <c r="BU289" s="180"/>
      <c r="BV289" s="180"/>
      <c r="BW289" s="180"/>
      <c r="BX289" s="180"/>
      <c r="BY289" s="180"/>
      <c r="BZ289" s="180"/>
      <c r="CA289" s="180"/>
      <c r="CB289" s="180"/>
      <c r="CC289" s="180"/>
      <c r="CD289" s="180"/>
      <c r="CE289" s="180"/>
      <c r="CF289" s="180"/>
      <c r="CG289" s="180"/>
      <c r="CH289" s="180"/>
      <c r="CI289" s="180"/>
      <c r="CJ289" s="180"/>
      <c r="CK289" s="180"/>
      <c r="CL289" s="180"/>
      <c r="CM289" s="180"/>
      <c r="CN289" s="180"/>
      <c r="CO289" s="180"/>
      <c r="CP289" s="180"/>
      <c r="CQ289" s="180"/>
      <c r="CR289" s="180"/>
      <c r="CS289" s="180"/>
      <c r="CT289" s="180"/>
      <c r="CU289" s="180"/>
      <c r="CV289" s="180"/>
      <c r="CW289" s="180"/>
      <c r="CX289" s="180"/>
      <c r="CY289" s="180"/>
      <c r="CZ289" s="180"/>
    </row>
    <row r="290" spans="1:104" x14ac:dyDescent="0.45">
      <c r="A290" s="180" t="s">
        <v>14</v>
      </c>
      <c r="B290" s="73">
        <v>12</v>
      </c>
      <c r="C290" s="73"/>
      <c r="D290" s="180" t="s">
        <v>394</v>
      </c>
      <c r="E290" s="39">
        <v>43597</v>
      </c>
      <c r="F290" s="179">
        <v>0.41736111111111113</v>
      </c>
      <c r="G290" s="180">
        <v>1</v>
      </c>
      <c r="H290" s="180"/>
      <c r="I290" s="180"/>
      <c r="J290" s="180"/>
      <c r="K290" s="180"/>
      <c r="L290" s="180"/>
      <c r="M290" s="180"/>
      <c r="N290" s="180"/>
      <c r="O290" s="180"/>
      <c r="P290" s="180"/>
      <c r="AS290" s="180"/>
      <c r="AT290" s="180"/>
      <c r="AU290" s="180"/>
      <c r="AV290" s="180"/>
      <c r="AW290" s="180"/>
      <c r="AX290" s="180"/>
      <c r="AY290" s="180"/>
      <c r="AZ290" s="180"/>
      <c r="BA290" s="180"/>
      <c r="BB290" s="180"/>
      <c r="BC290" s="180"/>
      <c r="BD290" s="180"/>
      <c r="BE290" s="180"/>
      <c r="BF290" s="180"/>
      <c r="BG290" s="180"/>
      <c r="BH290" s="180"/>
      <c r="BI290" s="180"/>
      <c r="BJ290" s="180"/>
      <c r="BK290" s="180"/>
      <c r="BL290" s="180"/>
      <c r="BM290" s="180"/>
      <c r="BN290" s="180"/>
      <c r="BO290" s="180"/>
      <c r="BP290" s="180"/>
      <c r="BQ290" s="180"/>
      <c r="BR290" s="180"/>
      <c r="BS290" s="180"/>
      <c r="BT290" s="180"/>
      <c r="BU290" s="180"/>
      <c r="BV290" s="180"/>
      <c r="BW290" s="180"/>
      <c r="BX290" s="180"/>
      <c r="BY290" s="180"/>
      <c r="BZ290" s="180"/>
      <c r="CA290" s="180"/>
      <c r="CB290" s="180"/>
      <c r="CC290" s="180"/>
      <c r="CD290" s="180"/>
      <c r="CE290" s="180"/>
      <c r="CF290" s="180"/>
      <c r="CG290" s="180"/>
      <c r="CH290" s="180"/>
      <c r="CI290" s="180"/>
      <c r="CJ290" s="180"/>
      <c r="CK290" s="180"/>
      <c r="CL290" s="180"/>
      <c r="CM290" s="180"/>
      <c r="CN290" s="180"/>
      <c r="CO290" s="180"/>
      <c r="CP290" s="180"/>
      <c r="CQ290" s="180"/>
      <c r="CR290" s="180"/>
      <c r="CS290" s="180"/>
      <c r="CT290" s="180"/>
      <c r="CU290" s="180"/>
      <c r="CV290" s="180"/>
      <c r="CW290" s="180"/>
      <c r="CX290" s="180"/>
      <c r="CY290" s="180"/>
      <c r="CZ290" s="180"/>
    </row>
    <row r="291" spans="1:104" x14ac:dyDescent="0.45">
      <c r="A291" s="180" t="s">
        <v>14</v>
      </c>
      <c r="B291" s="73">
        <v>15</v>
      </c>
      <c r="C291" s="73"/>
      <c r="D291" s="180" t="s">
        <v>395</v>
      </c>
      <c r="E291" s="39">
        <v>43597</v>
      </c>
      <c r="F291" s="179">
        <v>0.3125</v>
      </c>
      <c r="G291" s="180">
        <v>1</v>
      </c>
      <c r="H291" s="180" t="s">
        <v>396</v>
      </c>
      <c r="I291" s="180"/>
      <c r="J291" s="180"/>
      <c r="K291" s="180"/>
      <c r="L291" s="180"/>
      <c r="M291" s="180"/>
      <c r="N291" s="180"/>
      <c r="O291" s="180"/>
      <c r="P291" s="180"/>
      <c r="AS291" s="180"/>
      <c r="AT291" s="180"/>
      <c r="AU291" s="180"/>
      <c r="AV291" s="180"/>
      <c r="AW291" s="180"/>
      <c r="AX291" s="180"/>
      <c r="AY291" s="180"/>
      <c r="AZ291" s="180"/>
      <c r="BA291" s="180"/>
      <c r="BB291" s="180"/>
      <c r="BC291" s="180"/>
      <c r="BD291" s="180"/>
      <c r="BE291" s="180"/>
      <c r="BF291" s="180"/>
      <c r="BG291" s="180"/>
      <c r="BH291" s="180"/>
      <c r="BI291" s="180"/>
      <c r="BJ291" s="180"/>
      <c r="BK291" s="180"/>
      <c r="BL291" s="180"/>
      <c r="BM291" s="180"/>
      <c r="BN291" s="180"/>
      <c r="BO291" s="180"/>
      <c r="BP291" s="180"/>
      <c r="BQ291" s="180"/>
      <c r="BR291" s="180"/>
      <c r="BS291" s="180"/>
      <c r="BT291" s="180"/>
      <c r="BU291" s="180"/>
      <c r="BV291" s="180"/>
      <c r="BW291" s="180"/>
      <c r="BX291" s="180"/>
      <c r="BY291" s="180"/>
      <c r="BZ291" s="180"/>
      <c r="CA291" s="180"/>
      <c r="CB291" s="180"/>
      <c r="CC291" s="180"/>
      <c r="CD291" s="180"/>
      <c r="CE291" s="180"/>
      <c r="CF291" s="180"/>
      <c r="CG291" s="180"/>
      <c r="CH291" s="180"/>
      <c r="CI291" s="180"/>
      <c r="CJ291" s="180"/>
      <c r="CK291" s="180"/>
      <c r="CL291" s="180"/>
      <c r="CM291" s="180"/>
      <c r="CN291" s="180"/>
      <c r="CO291" s="180"/>
      <c r="CP291" s="180"/>
      <c r="CQ291" s="180"/>
      <c r="CR291" s="180"/>
      <c r="CS291" s="180"/>
      <c r="CT291" s="180"/>
      <c r="CU291" s="180"/>
      <c r="CV291" s="180"/>
      <c r="CW291" s="180"/>
      <c r="CX291" s="180"/>
      <c r="CY291" s="180"/>
      <c r="CZ291" s="180"/>
    </row>
    <row r="292" spans="1:104" x14ac:dyDescent="0.45">
      <c r="A292" s="180" t="s">
        <v>14</v>
      </c>
      <c r="B292" s="73">
        <v>4</v>
      </c>
      <c r="C292" s="73"/>
      <c r="D292" s="180" t="s">
        <v>397</v>
      </c>
      <c r="E292" s="39">
        <v>43597</v>
      </c>
      <c r="F292" s="179">
        <v>0.89583333333333337</v>
      </c>
      <c r="G292" s="180">
        <v>6</v>
      </c>
      <c r="H292" s="180"/>
      <c r="I292" s="180" t="s">
        <v>398</v>
      </c>
      <c r="J292" s="180"/>
      <c r="K292" s="180"/>
      <c r="L292" s="180"/>
      <c r="M292" s="180"/>
      <c r="N292" s="180"/>
      <c r="O292" s="180"/>
      <c r="P292" s="180"/>
      <c r="AS292" s="180"/>
      <c r="AT292" s="180"/>
      <c r="AU292" s="180"/>
      <c r="AV292" s="180"/>
      <c r="AW292" s="180"/>
      <c r="AX292" s="180"/>
      <c r="AY292" s="180"/>
      <c r="AZ292" s="180"/>
      <c r="BA292" s="180"/>
      <c r="BB292" s="180"/>
      <c r="BC292" s="180"/>
      <c r="BD292" s="180"/>
      <c r="BE292" s="180"/>
      <c r="BF292" s="180"/>
      <c r="BG292" s="180"/>
      <c r="BH292" s="180"/>
      <c r="BI292" s="180"/>
      <c r="BJ292" s="180"/>
      <c r="BK292" s="180"/>
      <c r="BL292" s="180"/>
      <c r="BM292" s="180"/>
      <c r="BN292" s="180"/>
      <c r="BO292" s="180"/>
      <c r="BP292" s="180"/>
      <c r="BQ292" s="180"/>
      <c r="BR292" s="180"/>
      <c r="BS292" s="180"/>
      <c r="BT292" s="180"/>
      <c r="BU292" s="180"/>
      <c r="BV292" s="180"/>
      <c r="BW292" s="180"/>
      <c r="BX292" s="180"/>
      <c r="BY292" s="180"/>
      <c r="BZ292" s="180"/>
      <c r="CA292" s="180"/>
      <c r="CB292" s="180"/>
      <c r="CC292" s="180"/>
      <c r="CD292" s="180"/>
      <c r="CE292" s="180"/>
      <c r="CF292" s="180"/>
      <c r="CG292" s="180"/>
      <c r="CH292" s="180"/>
      <c r="CI292" s="180"/>
      <c r="CJ292" s="180"/>
      <c r="CK292" s="180"/>
      <c r="CL292" s="180"/>
      <c r="CM292" s="180"/>
      <c r="CN292" s="180"/>
      <c r="CO292" s="180"/>
      <c r="CP292" s="180"/>
      <c r="CQ292" s="180"/>
      <c r="CR292" s="180"/>
      <c r="CS292" s="180"/>
      <c r="CT292" s="180"/>
      <c r="CU292" s="180"/>
      <c r="CV292" s="180"/>
      <c r="CW292" s="180"/>
      <c r="CX292" s="180"/>
      <c r="CY292" s="180"/>
      <c r="CZ292" s="180"/>
    </row>
    <row r="293" spans="1:104" x14ac:dyDescent="0.45">
      <c r="A293" s="180" t="s">
        <v>14</v>
      </c>
      <c r="B293" s="73">
        <v>250</v>
      </c>
      <c r="C293" s="73"/>
      <c r="D293" s="180" t="s">
        <v>128</v>
      </c>
      <c r="E293" s="39">
        <v>43597</v>
      </c>
      <c r="F293" s="179">
        <v>0.77430555555555547</v>
      </c>
      <c r="G293" s="180">
        <v>6</v>
      </c>
      <c r="H293" s="180"/>
      <c r="I293" s="180"/>
      <c r="J293" s="180"/>
      <c r="K293" s="180"/>
      <c r="L293" s="180"/>
      <c r="M293" s="180"/>
      <c r="N293" s="180"/>
      <c r="O293" s="180"/>
      <c r="P293" s="180"/>
      <c r="AS293" s="180"/>
      <c r="AT293" s="180"/>
      <c r="AU293" s="180"/>
      <c r="AV293" s="180"/>
      <c r="AW293" s="180"/>
      <c r="AX293" s="180"/>
      <c r="AY293" s="180"/>
      <c r="AZ293" s="180"/>
      <c r="BA293" s="180"/>
      <c r="BB293" s="180"/>
      <c r="BC293" s="180"/>
      <c r="BD293" s="180"/>
      <c r="BE293" s="180"/>
      <c r="BF293" s="180"/>
      <c r="BG293" s="180"/>
      <c r="BH293" s="180"/>
      <c r="BI293" s="180"/>
      <c r="BJ293" s="180"/>
      <c r="BK293" s="180"/>
      <c r="BL293" s="180"/>
      <c r="BM293" s="180"/>
      <c r="BN293" s="180"/>
      <c r="BO293" s="180"/>
      <c r="BP293" s="180"/>
      <c r="BQ293" s="180"/>
      <c r="BR293" s="180"/>
      <c r="BS293" s="180"/>
      <c r="BT293" s="180"/>
      <c r="BU293" s="180"/>
      <c r="BV293" s="180"/>
      <c r="BW293" s="180"/>
      <c r="BX293" s="180"/>
      <c r="BY293" s="180"/>
      <c r="BZ293" s="180"/>
      <c r="CA293" s="180"/>
      <c r="CB293" s="180"/>
      <c r="CC293" s="180"/>
      <c r="CD293" s="180"/>
      <c r="CE293" s="180"/>
      <c r="CF293" s="180"/>
      <c r="CG293" s="180"/>
      <c r="CH293" s="180"/>
      <c r="CI293" s="180"/>
      <c r="CJ293" s="180"/>
      <c r="CK293" s="180"/>
      <c r="CL293" s="180"/>
      <c r="CM293" s="180"/>
      <c r="CN293" s="180"/>
      <c r="CO293" s="180"/>
      <c r="CP293" s="180"/>
      <c r="CQ293" s="180"/>
      <c r="CR293" s="180"/>
      <c r="CS293" s="180"/>
      <c r="CT293" s="180"/>
      <c r="CU293" s="180"/>
      <c r="CV293" s="180"/>
      <c r="CW293" s="180"/>
      <c r="CX293" s="180"/>
      <c r="CY293" s="180"/>
      <c r="CZ293" s="180"/>
    </row>
    <row r="294" spans="1:104" x14ac:dyDescent="0.45">
      <c r="A294" s="180" t="s">
        <v>14</v>
      </c>
      <c r="B294" s="73">
        <v>100</v>
      </c>
      <c r="C294" s="73">
        <v>100</v>
      </c>
      <c r="D294" s="180" t="s">
        <v>367</v>
      </c>
      <c r="E294" s="39">
        <v>43597</v>
      </c>
      <c r="F294" s="179">
        <v>0.41597222222222219</v>
      </c>
      <c r="G294" s="180">
        <v>1</v>
      </c>
      <c r="H294" s="180"/>
      <c r="I294" s="180"/>
      <c r="J294" s="180"/>
      <c r="K294" s="180"/>
      <c r="L294" s="180"/>
      <c r="M294" s="180"/>
      <c r="N294" s="180"/>
      <c r="O294" s="180"/>
      <c r="P294" s="180"/>
      <c r="AS294" s="180"/>
      <c r="AT294" s="180"/>
      <c r="AU294" s="180"/>
      <c r="AV294" s="180"/>
      <c r="AW294" s="180"/>
      <c r="AX294" s="180"/>
      <c r="AY294" s="180"/>
      <c r="AZ294" s="180"/>
      <c r="BA294" s="180"/>
      <c r="BB294" s="180"/>
      <c r="BC294" s="180"/>
      <c r="BD294" s="180"/>
      <c r="BE294" s="180"/>
      <c r="BF294" s="180"/>
      <c r="BG294" s="180"/>
      <c r="BH294" s="180"/>
      <c r="BI294" s="180"/>
      <c r="BJ294" s="180"/>
      <c r="BK294" s="180"/>
      <c r="BL294" s="180"/>
      <c r="BM294" s="180"/>
      <c r="BN294" s="180"/>
      <c r="BO294" s="180"/>
      <c r="BP294" s="180"/>
      <c r="BQ294" s="180"/>
      <c r="BR294" s="180"/>
      <c r="BS294" s="180"/>
      <c r="BT294" s="180"/>
      <c r="BU294" s="180"/>
      <c r="BV294" s="180"/>
      <c r="BW294" s="180"/>
      <c r="BX294" s="180"/>
      <c r="BY294" s="180"/>
      <c r="BZ294" s="180"/>
      <c r="CA294" s="180"/>
      <c r="CB294" s="180"/>
      <c r="CC294" s="180"/>
      <c r="CD294" s="180"/>
      <c r="CE294" s="180"/>
      <c r="CF294" s="180"/>
      <c r="CG294" s="180"/>
      <c r="CH294" s="180"/>
      <c r="CI294" s="180"/>
      <c r="CJ294" s="180"/>
      <c r="CK294" s="180"/>
      <c r="CL294" s="180"/>
      <c r="CM294" s="180"/>
      <c r="CN294" s="180"/>
      <c r="CO294" s="180"/>
      <c r="CP294" s="180"/>
      <c r="CQ294" s="180"/>
      <c r="CR294" s="180"/>
      <c r="CS294" s="180"/>
      <c r="CT294" s="180"/>
      <c r="CU294" s="180"/>
      <c r="CV294" s="180"/>
      <c r="CW294" s="180"/>
      <c r="CX294" s="180"/>
      <c r="CY294" s="180"/>
      <c r="CZ294" s="180"/>
    </row>
    <row r="295" spans="1:104" x14ac:dyDescent="0.45">
      <c r="A295" s="180" t="s">
        <v>14</v>
      </c>
      <c r="B295" s="73">
        <v>15</v>
      </c>
      <c r="C295" s="73"/>
      <c r="D295" s="180" t="s">
        <v>332</v>
      </c>
      <c r="E295" s="39">
        <v>43597</v>
      </c>
      <c r="F295" s="179">
        <v>0.375</v>
      </c>
      <c r="G295" s="180">
        <v>1</v>
      </c>
      <c r="H295" s="180" t="s">
        <v>399</v>
      </c>
      <c r="I295" s="180"/>
      <c r="J295" s="180"/>
      <c r="K295" s="180"/>
      <c r="L295" s="180"/>
      <c r="M295" s="180"/>
      <c r="N295" s="180"/>
      <c r="O295" s="180"/>
      <c r="P295" s="180"/>
      <c r="AS295" s="180"/>
      <c r="AT295" s="180"/>
      <c r="AU295" s="180"/>
      <c r="AV295" s="180"/>
      <c r="AW295" s="180"/>
      <c r="AX295" s="180"/>
      <c r="AY295" s="180"/>
      <c r="AZ295" s="180"/>
      <c r="BA295" s="180"/>
      <c r="BB295" s="180"/>
      <c r="BC295" s="180"/>
      <c r="BD295" s="180"/>
      <c r="BE295" s="180"/>
      <c r="BF295" s="180"/>
      <c r="BG295" s="180"/>
      <c r="BH295" s="180"/>
      <c r="BI295" s="180"/>
      <c r="BJ295" s="180"/>
      <c r="BK295" s="180"/>
      <c r="BL295" s="180"/>
      <c r="BM295" s="180"/>
      <c r="BN295" s="180"/>
      <c r="BO295" s="180"/>
      <c r="BP295" s="180"/>
      <c r="BQ295" s="180"/>
      <c r="BR295" s="180"/>
      <c r="BS295" s="180"/>
      <c r="BT295" s="180"/>
      <c r="BU295" s="180"/>
      <c r="BV295" s="180"/>
      <c r="BW295" s="180"/>
      <c r="BX295" s="180"/>
      <c r="BY295" s="180"/>
      <c r="BZ295" s="180"/>
      <c r="CA295" s="180"/>
      <c r="CB295" s="180"/>
      <c r="CC295" s="180"/>
      <c r="CD295" s="180"/>
      <c r="CE295" s="180"/>
      <c r="CF295" s="180"/>
      <c r="CG295" s="180"/>
      <c r="CH295" s="180"/>
      <c r="CI295" s="180"/>
      <c r="CJ295" s="180"/>
      <c r="CK295" s="180"/>
      <c r="CL295" s="180"/>
      <c r="CM295" s="180"/>
      <c r="CN295" s="180"/>
      <c r="CO295" s="180"/>
      <c r="CP295" s="180"/>
      <c r="CQ295" s="180"/>
      <c r="CR295" s="180"/>
      <c r="CS295" s="180"/>
      <c r="CT295" s="180"/>
      <c r="CU295" s="180"/>
      <c r="CV295" s="180"/>
      <c r="CW295" s="180"/>
      <c r="CX295" s="180"/>
      <c r="CY295" s="180"/>
      <c r="CZ295" s="180"/>
    </row>
    <row r="296" spans="1:104" x14ac:dyDescent="0.45">
      <c r="A296" s="180" t="s">
        <v>14</v>
      </c>
      <c r="B296" s="73">
        <v>5</v>
      </c>
      <c r="C296" s="73"/>
      <c r="D296" s="180" t="s">
        <v>332</v>
      </c>
      <c r="E296" s="39">
        <v>43597</v>
      </c>
      <c r="F296" s="179">
        <v>0.38263888888888892</v>
      </c>
      <c r="G296" s="180">
        <v>1</v>
      </c>
      <c r="H296" s="180" t="s">
        <v>333</v>
      </c>
      <c r="I296" s="180"/>
      <c r="J296" s="180"/>
      <c r="K296" s="180"/>
      <c r="L296" s="180"/>
      <c r="M296" s="180"/>
      <c r="N296" s="180"/>
      <c r="O296" s="180"/>
      <c r="P296" s="180"/>
      <c r="AS296" s="180"/>
      <c r="AT296" s="180"/>
      <c r="AU296" s="180"/>
      <c r="AV296" s="180"/>
      <c r="AW296" s="180"/>
      <c r="AX296" s="180"/>
      <c r="AY296" s="180"/>
      <c r="AZ296" s="180"/>
      <c r="BA296" s="180"/>
      <c r="BB296" s="180"/>
      <c r="BC296" s="180"/>
      <c r="BD296" s="180"/>
      <c r="BE296" s="180"/>
      <c r="BF296" s="180"/>
      <c r="BG296" s="180"/>
      <c r="BH296" s="180"/>
      <c r="BI296" s="180"/>
      <c r="BJ296" s="180"/>
      <c r="BK296" s="180"/>
      <c r="BL296" s="180"/>
      <c r="BM296" s="180"/>
      <c r="BN296" s="180"/>
      <c r="BO296" s="180"/>
      <c r="BP296" s="180"/>
      <c r="BQ296" s="180"/>
      <c r="BR296" s="180"/>
      <c r="BS296" s="180"/>
      <c r="BT296" s="180"/>
      <c r="BU296" s="180"/>
      <c r="BV296" s="180"/>
      <c r="BW296" s="180"/>
      <c r="BX296" s="180"/>
      <c r="BY296" s="180"/>
      <c r="BZ296" s="180"/>
      <c r="CA296" s="180"/>
      <c r="CB296" s="180"/>
      <c r="CC296" s="180"/>
      <c r="CD296" s="180"/>
      <c r="CE296" s="180"/>
      <c r="CF296" s="180"/>
      <c r="CG296" s="180"/>
      <c r="CH296" s="180"/>
      <c r="CI296" s="180"/>
      <c r="CJ296" s="180"/>
      <c r="CK296" s="180"/>
      <c r="CL296" s="180"/>
      <c r="CM296" s="180"/>
      <c r="CN296" s="180"/>
      <c r="CO296" s="180"/>
      <c r="CP296" s="180"/>
      <c r="CQ296" s="180"/>
      <c r="CR296" s="180"/>
      <c r="CS296" s="180"/>
      <c r="CT296" s="180"/>
      <c r="CU296" s="180"/>
      <c r="CV296" s="180"/>
      <c r="CW296" s="180"/>
      <c r="CX296" s="180"/>
      <c r="CY296" s="180"/>
      <c r="CZ296" s="180"/>
    </row>
    <row r="297" spans="1:104" x14ac:dyDescent="0.45">
      <c r="A297" s="180" t="s">
        <v>14</v>
      </c>
      <c r="B297" s="73">
        <v>17</v>
      </c>
      <c r="C297" s="73"/>
      <c r="D297" s="180" t="s">
        <v>332</v>
      </c>
      <c r="E297" s="39">
        <v>43597</v>
      </c>
      <c r="F297" s="179">
        <v>0.35138888888888892</v>
      </c>
      <c r="G297" s="180">
        <v>1</v>
      </c>
      <c r="H297" s="180"/>
      <c r="I297" s="180"/>
      <c r="J297" s="180"/>
      <c r="K297" s="180"/>
      <c r="L297" s="180"/>
      <c r="M297" s="180"/>
      <c r="N297" s="180"/>
      <c r="O297" s="180"/>
      <c r="P297" s="180"/>
      <c r="AS297" s="180"/>
      <c r="AT297" s="180"/>
      <c r="AU297" s="180"/>
      <c r="AV297" s="180"/>
      <c r="AW297" s="180"/>
      <c r="AX297" s="180"/>
      <c r="AY297" s="180"/>
      <c r="AZ297" s="180"/>
      <c r="BA297" s="180"/>
      <c r="BB297" s="180"/>
      <c r="BC297" s="180"/>
      <c r="BD297" s="180"/>
      <c r="BE297" s="180"/>
      <c r="BF297" s="180"/>
      <c r="BG297" s="180"/>
      <c r="BH297" s="180"/>
      <c r="BI297" s="180"/>
      <c r="BJ297" s="180"/>
      <c r="BK297" s="180"/>
      <c r="BL297" s="180"/>
      <c r="BM297" s="180"/>
      <c r="BN297" s="180"/>
      <c r="BO297" s="180"/>
      <c r="BP297" s="180"/>
      <c r="BQ297" s="180"/>
      <c r="BR297" s="180"/>
      <c r="BS297" s="180"/>
      <c r="BT297" s="180"/>
      <c r="BU297" s="180"/>
      <c r="BV297" s="180"/>
      <c r="BW297" s="180"/>
      <c r="BX297" s="180"/>
      <c r="BY297" s="180"/>
      <c r="BZ297" s="180"/>
      <c r="CA297" s="180"/>
      <c r="CB297" s="180"/>
      <c r="CC297" s="180"/>
      <c r="CD297" s="180"/>
      <c r="CE297" s="180"/>
      <c r="CF297" s="180"/>
      <c r="CG297" s="180"/>
      <c r="CH297" s="180"/>
      <c r="CI297" s="180"/>
      <c r="CJ297" s="180"/>
      <c r="CK297" s="180"/>
      <c r="CL297" s="180"/>
      <c r="CM297" s="180"/>
      <c r="CN297" s="180"/>
      <c r="CO297" s="180"/>
      <c r="CP297" s="180"/>
      <c r="CQ297" s="180"/>
      <c r="CR297" s="180"/>
      <c r="CS297" s="180"/>
      <c r="CT297" s="180"/>
      <c r="CU297" s="180"/>
      <c r="CV297" s="180"/>
      <c r="CW297" s="180"/>
      <c r="CX297" s="180"/>
      <c r="CY297" s="180"/>
      <c r="CZ297" s="180"/>
    </row>
    <row r="298" spans="1:104" x14ac:dyDescent="0.45">
      <c r="A298" s="180" t="s">
        <v>14</v>
      </c>
      <c r="B298" s="73">
        <v>14</v>
      </c>
      <c r="C298" s="73"/>
      <c r="D298" s="180" t="s">
        <v>332</v>
      </c>
      <c r="E298" s="39">
        <v>43597</v>
      </c>
      <c r="F298" s="179">
        <v>0.38819444444444445</v>
      </c>
      <c r="G298" s="180">
        <v>1</v>
      </c>
      <c r="H298" s="180"/>
      <c r="I298" s="180"/>
      <c r="J298" s="180"/>
      <c r="K298" s="180"/>
      <c r="L298" s="180"/>
      <c r="M298" s="180"/>
      <c r="N298" s="180"/>
      <c r="O298" s="180"/>
      <c r="P298" s="180"/>
      <c r="AS298" s="180"/>
      <c r="AT298" s="180"/>
      <c r="AU298" s="180"/>
      <c r="AV298" s="180"/>
      <c r="AW298" s="180"/>
      <c r="AX298" s="180"/>
      <c r="AY298" s="180"/>
      <c r="AZ298" s="180"/>
      <c r="BA298" s="180"/>
      <c r="BB298" s="180"/>
      <c r="BC298" s="180"/>
      <c r="BD298" s="180"/>
      <c r="BE298" s="180"/>
      <c r="BF298" s="180"/>
      <c r="BG298" s="180"/>
      <c r="BH298" s="180"/>
      <c r="BI298" s="180"/>
      <c r="BJ298" s="180"/>
      <c r="BK298" s="180"/>
      <c r="BL298" s="180"/>
      <c r="BM298" s="180"/>
      <c r="BN298" s="180"/>
      <c r="BO298" s="180"/>
      <c r="BP298" s="180"/>
      <c r="BQ298" s="180"/>
      <c r="BR298" s="180"/>
      <c r="BS298" s="180"/>
      <c r="BT298" s="180"/>
      <c r="BU298" s="180"/>
      <c r="BV298" s="180"/>
      <c r="BW298" s="180"/>
      <c r="BX298" s="180"/>
      <c r="BY298" s="180"/>
      <c r="BZ298" s="180"/>
      <c r="CA298" s="180"/>
      <c r="CB298" s="180"/>
      <c r="CC298" s="180"/>
      <c r="CD298" s="180"/>
      <c r="CE298" s="180"/>
      <c r="CF298" s="180"/>
      <c r="CG298" s="180"/>
      <c r="CH298" s="180"/>
      <c r="CI298" s="180"/>
      <c r="CJ298" s="180"/>
      <c r="CK298" s="180"/>
      <c r="CL298" s="180"/>
      <c r="CM298" s="180"/>
      <c r="CN298" s="180"/>
      <c r="CO298" s="180"/>
      <c r="CP298" s="180"/>
      <c r="CQ298" s="180"/>
      <c r="CR298" s="180"/>
      <c r="CS298" s="180"/>
      <c r="CT298" s="180"/>
      <c r="CU298" s="180"/>
      <c r="CV298" s="180"/>
      <c r="CW298" s="180"/>
      <c r="CX298" s="180"/>
      <c r="CY298" s="180"/>
      <c r="CZ298" s="180"/>
    </row>
    <row r="299" spans="1:104" x14ac:dyDescent="0.45">
      <c r="A299" s="180" t="s">
        <v>14</v>
      </c>
      <c r="B299" s="73">
        <v>250</v>
      </c>
      <c r="C299" s="73">
        <v>250</v>
      </c>
      <c r="D299" s="180" t="s">
        <v>311</v>
      </c>
      <c r="E299" s="39">
        <v>43597</v>
      </c>
      <c r="F299" s="179">
        <v>0.52083333333333337</v>
      </c>
      <c r="G299" s="180">
        <v>1</v>
      </c>
      <c r="H299" s="180" t="s">
        <v>400</v>
      </c>
      <c r="I299" s="180"/>
      <c r="J299" s="180"/>
      <c r="K299" s="180"/>
      <c r="L299" s="180"/>
      <c r="M299" s="180"/>
      <c r="N299" s="180"/>
      <c r="O299" s="180"/>
      <c r="P299" s="180"/>
      <c r="AS299" s="180"/>
      <c r="AT299" s="180"/>
      <c r="AU299" s="180"/>
      <c r="AV299" s="180"/>
      <c r="AW299" s="180"/>
      <c r="AX299" s="180"/>
      <c r="AY299" s="180"/>
      <c r="AZ299" s="180"/>
      <c r="BA299" s="180"/>
      <c r="BB299" s="180"/>
      <c r="BC299" s="180"/>
      <c r="BD299" s="180"/>
      <c r="BE299" s="180"/>
      <c r="BF299" s="180"/>
      <c r="BG299" s="180"/>
      <c r="BH299" s="180"/>
      <c r="BI299" s="180"/>
      <c r="BJ299" s="180"/>
      <c r="BK299" s="180"/>
      <c r="BL299" s="180"/>
      <c r="BM299" s="180"/>
      <c r="BN299" s="180"/>
      <c r="BO299" s="180"/>
      <c r="BP299" s="180"/>
      <c r="BQ299" s="180"/>
      <c r="BR299" s="180"/>
      <c r="BS299" s="180"/>
      <c r="BT299" s="180"/>
      <c r="BU299" s="180"/>
      <c r="BV299" s="180"/>
      <c r="BW299" s="180"/>
      <c r="BX299" s="180"/>
      <c r="BY299" s="180"/>
      <c r="BZ299" s="180"/>
      <c r="CA299" s="180"/>
      <c r="CB299" s="180"/>
      <c r="CC299" s="180"/>
      <c r="CD299" s="180"/>
      <c r="CE299" s="180"/>
      <c r="CF299" s="180"/>
      <c r="CG299" s="180"/>
      <c r="CH299" s="180"/>
      <c r="CI299" s="180"/>
      <c r="CJ299" s="180"/>
      <c r="CK299" s="180"/>
      <c r="CL299" s="180"/>
      <c r="CM299" s="180"/>
      <c r="CN299" s="180"/>
      <c r="CO299" s="180"/>
      <c r="CP299" s="180"/>
      <c r="CQ299" s="180"/>
      <c r="CR299" s="180"/>
      <c r="CS299" s="180"/>
      <c r="CT299" s="180"/>
      <c r="CU299" s="180"/>
      <c r="CV299" s="180"/>
      <c r="CW299" s="180"/>
      <c r="CX299" s="180"/>
      <c r="CY299" s="180"/>
      <c r="CZ299" s="180"/>
    </row>
    <row r="300" spans="1:104" x14ac:dyDescent="0.45">
      <c r="A300" s="180" t="s">
        <v>14</v>
      </c>
      <c r="B300" s="73">
        <v>28</v>
      </c>
      <c r="C300" s="73">
        <v>28</v>
      </c>
      <c r="D300" s="180" t="s">
        <v>309</v>
      </c>
      <c r="E300" s="39">
        <v>43597</v>
      </c>
      <c r="F300" s="179">
        <v>0.3840277777777778</v>
      </c>
      <c r="G300" s="180">
        <v>1</v>
      </c>
      <c r="H300" s="180"/>
      <c r="I300" s="180"/>
      <c r="J300" s="180"/>
      <c r="K300" s="180"/>
      <c r="L300" s="180"/>
      <c r="M300" s="180"/>
      <c r="N300" s="180"/>
      <c r="O300" s="180"/>
      <c r="P300" s="180"/>
      <c r="AS300" s="180"/>
      <c r="AT300" s="180"/>
      <c r="AU300" s="180"/>
      <c r="AV300" s="180"/>
      <c r="AW300" s="180"/>
      <c r="AX300" s="180"/>
      <c r="AY300" s="180"/>
      <c r="AZ300" s="180"/>
      <c r="BA300" s="180"/>
      <c r="BB300" s="180"/>
      <c r="BC300" s="180"/>
      <c r="BD300" s="180"/>
      <c r="BE300" s="180"/>
      <c r="BF300" s="180"/>
      <c r="BG300" s="180"/>
      <c r="BH300" s="180"/>
      <c r="BI300" s="180"/>
      <c r="BJ300" s="180"/>
      <c r="BK300" s="180"/>
      <c r="BL300" s="180"/>
      <c r="BM300" s="180"/>
      <c r="BN300" s="180"/>
      <c r="BO300" s="180"/>
      <c r="BP300" s="180"/>
      <c r="BQ300" s="180"/>
      <c r="BR300" s="180"/>
      <c r="BS300" s="180"/>
      <c r="BT300" s="180"/>
      <c r="BU300" s="180"/>
      <c r="BV300" s="180"/>
      <c r="BW300" s="180"/>
      <c r="BX300" s="180"/>
      <c r="BY300" s="180"/>
      <c r="BZ300" s="180"/>
      <c r="CA300" s="180"/>
      <c r="CB300" s="180"/>
      <c r="CC300" s="180"/>
      <c r="CD300" s="180"/>
      <c r="CE300" s="180"/>
      <c r="CF300" s="180"/>
      <c r="CG300" s="180"/>
      <c r="CH300" s="180"/>
      <c r="CI300" s="180"/>
      <c r="CJ300" s="180"/>
      <c r="CK300" s="180"/>
      <c r="CL300" s="180"/>
      <c r="CM300" s="180"/>
      <c r="CN300" s="180"/>
      <c r="CO300" s="180"/>
      <c r="CP300" s="180"/>
      <c r="CQ300" s="180"/>
      <c r="CR300" s="180"/>
      <c r="CS300" s="180"/>
      <c r="CT300" s="180"/>
      <c r="CU300" s="180"/>
      <c r="CV300" s="180"/>
      <c r="CW300" s="180"/>
      <c r="CX300" s="180"/>
      <c r="CY300" s="180"/>
      <c r="CZ300" s="180"/>
    </row>
    <row r="301" spans="1:104" x14ac:dyDescent="0.45">
      <c r="A301" s="180" t="s">
        <v>14</v>
      </c>
      <c r="B301" s="73">
        <v>15</v>
      </c>
      <c r="C301" s="73"/>
      <c r="D301" s="180" t="s">
        <v>309</v>
      </c>
      <c r="E301" s="39">
        <v>43597</v>
      </c>
      <c r="F301" s="179">
        <v>0.36319444444444443</v>
      </c>
      <c r="G301" s="180">
        <v>1</v>
      </c>
      <c r="H301" s="180"/>
      <c r="I301" s="180"/>
      <c r="J301" s="180"/>
      <c r="K301" s="180"/>
      <c r="L301" s="180"/>
      <c r="M301" s="180"/>
      <c r="N301" s="180"/>
      <c r="O301" s="180"/>
      <c r="P301" s="180"/>
      <c r="AS301" s="180"/>
      <c r="AT301" s="180"/>
      <c r="AU301" s="180"/>
      <c r="AV301" s="180"/>
      <c r="AW301" s="180"/>
      <c r="AX301" s="180"/>
      <c r="AY301" s="180"/>
      <c r="AZ301" s="180"/>
      <c r="BA301" s="180"/>
      <c r="BB301" s="180"/>
      <c r="BC301" s="180"/>
      <c r="BD301" s="180"/>
      <c r="BE301" s="180"/>
      <c r="BF301" s="180"/>
      <c r="BG301" s="180"/>
      <c r="BH301" s="180"/>
      <c r="BI301" s="180"/>
      <c r="BJ301" s="180"/>
      <c r="BK301" s="180"/>
      <c r="BL301" s="180"/>
      <c r="BM301" s="180"/>
      <c r="BN301" s="180"/>
      <c r="BO301" s="180"/>
      <c r="BP301" s="180"/>
      <c r="BQ301" s="180"/>
      <c r="BR301" s="180"/>
      <c r="BS301" s="180"/>
      <c r="BT301" s="180"/>
      <c r="BU301" s="180"/>
      <c r="BV301" s="180"/>
      <c r="BW301" s="180"/>
      <c r="BX301" s="180"/>
      <c r="BY301" s="180"/>
      <c r="BZ301" s="180"/>
      <c r="CA301" s="180"/>
      <c r="CB301" s="180"/>
      <c r="CC301" s="180"/>
      <c r="CD301" s="180"/>
      <c r="CE301" s="180"/>
      <c r="CF301" s="180"/>
      <c r="CG301" s="180"/>
      <c r="CH301" s="180"/>
      <c r="CI301" s="180"/>
      <c r="CJ301" s="180"/>
      <c r="CK301" s="180"/>
      <c r="CL301" s="180"/>
      <c r="CM301" s="180"/>
      <c r="CN301" s="180"/>
      <c r="CO301" s="180"/>
      <c r="CP301" s="180"/>
      <c r="CQ301" s="180"/>
      <c r="CR301" s="180"/>
      <c r="CS301" s="180"/>
      <c r="CT301" s="180"/>
      <c r="CU301" s="180"/>
      <c r="CV301" s="180"/>
      <c r="CW301" s="180"/>
      <c r="CX301" s="180"/>
      <c r="CY301" s="180"/>
      <c r="CZ301" s="180"/>
    </row>
    <row r="302" spans="1:104" x14ac:dyDescent="0.45">
      <c r="A302" s="180" t="s">
        <v>14</v>
      </c>
      <c r="B302" s="73">
        <v>1</v>
      </c>
      <c r="C302" s="73">
        <v>1</v>
      </c>
      <c r="D302" s="180" t="s">
        <v>296</v>
      </c>
      <c r="E302" s="39">
        <v>43597</v>
      </c>
      <c r="F302" s="179">
        <v>0.26597222222222222</v>
      </c>
      <c r="G302" s="180">
        <v>20</v>
      </c>
      <c r="H302" s="180"/>
      <c r="I302" s="180"/>
      <c r="J302" s="180"/>
      <c r="K302" s="180"/>
      <c r="L302" s="180"/>
      <c r="M302" s="180"/>
      <c r="N302" s="180"/>
      <c r="O302" s="180"/>
      <c r="P302" s="180"/>
      <c r="AS302" s="180"/>
      <c r="AT302" s="180"/>
      <c r="AU302" s="180"/>
      <c r="AV302" s="180"/>
      <c r="AW302" s="180"/>
      <c r="AX302" s="180"/>
      <c r="AY302" s="180"/>
      <c r="AZ302" s="180"/>
      <c r="BA302" s="180"/>
      <c r="BB302" s="180"/>
      <c r="BC302" s="180"/>
      <c r="BD302" s="180"/>
      <c r="BE302" s="180"/>
      <c r="BF302" s="180"/>
      <c r="BG302" s="180"/>
      <c r="BH302" s="180"/>
      <c r="BI302" s="180"/>
      <c r="BJ302" s="180"/>
      <c r="BK302" s="180"/>
      <c r="BL302" s="180"/>
      <c r="BM302" s="180"/>
      <c r="BN302" s="180"/>
      <c r="BO302" s="180"/>
      <c r="BP302" s="180"/>
      <c r="BQ302" s="180"/>
      <c r="BR302" s="180"/>
      <c r="BS302" s="180"/>
      <c r="BT302" s="180"/>
      <c r="BU302" s="180"/>
      <c r="BV302" s="180"/>
      <c r="BW302" s="180"/>
      <c r="BX302" s="180"/>
      <c r="BY302" s="180"/>
      <c r="BZ302" s="180"/>
      <c r="CA302" s="180"/>
      <c r="CB302" s="180"/>
      <c r="CC302" s="180"/>
      <c r="CD302" s="180"/>
      <c r="CE302" s="180"/>
      <c r="CF302" s="180"/>
      <c r="CG302" s="180"/>
      <c r="CH302" s="180"/>
      <c r="CI302" s="180"/>
      <c r="CJ302" s="180"/>
      <c r="CK302" s="180"/>
      <c r="CL302" s="180"/>
      <c r="CM302" s="180"/>
      <c r="CN302" s="180"/>
      <c r="CO302" s="180"/>
      <c r="CP302" s="180"/>
      <c r="CQ302" s="180"/>
      <c r="CR302" s="180"/>
      <c r="CS302" s="180"/>
      <c r="CT302" s="180"/>
      <c r="CU302" s="180"/>
      <c r="CV302" s="180"/>
      <c r="CW302" s="180"/>
      <c r="CX302" s="180"/>
      <c r="CY302" s="180"/>
      <c r="CZ302" s="180"/>
    </row>
    <row r="303" spans="1:104" x14ac:dyDescent="0.45">
      <c r="A303" s="180" t="s">
        <v>14</v>
      </c>
      <c r="B303" s="73">
        <v>4</v>
      </c>
      <c r="C303" s="73"/>
      <c r="D303" s="180" t="s">
        <v>271</v>
      </c>
      <c r="E303" s="39">
        <v>43597</v>
      </c>
      <c r="F303" s="179">
        <v>0.42708333333333331</v>
      </c>
      <c r="G303" s="180">
        <v>1</v>
      </c>
      <c r="H303" s="180"/>
      <c r="I303" s="180"/>
      <c r="J303" s="180"/>
      <c r="K303" s="180"/>
      <c r="L303" s="180"/>
      <c r="M303" s="180"/>
      <c r="N303" s="180"/>
      <c r="O303" s="180"/>
      <c r="P303" s="180"/>
      <c r="AS303" s="180"/>
      <c r="AT303" s="180"/>
      <c r="AU303" s="180"/>
      <c r="AV303" s="180"/>
      <c r="AW303" s="180"/>
      <c r="AX303" s="180"/>
      <c r="AY303" s="180"/>
      <c r="AZ303" s="180"/>
      <c r="BA303" s="180"/>
      <c r="BB303" s="180"/>
      <c r="BC303" s="180"/>
      <c r="BD303" s="180"/>
      <c r="BE303" s="180"/>
      <c r="BF303" s="180"/>
      <c r="BG303" s="180"/>
      <c r="BH303" s="180"/>
      <c r="BI303" s="180"/>
      <c r="BJ303" s="180"/>
      <c r="BK303" s="180"/>
      <c r="BL303" s="180"/>
      <c r="BM303" s="180"/>
      <c r="BN303" s="180"/>
      <c r="BO303" s="180"/>
      <c r="BP303" s="180"/>
      <c r="BQ303" s="180"/>
      <c r="BR303" s="180"/>
      <c r="BS303" s="180"/>
      <c r="BT303" s="180"/>
      <c r="BU303" s="180"/>
      <c r="BV303" s="180"/>
      <c r="BW303" s="180"/>
      <c r="BX303" s="180"/>
      <c r="BY303" s="180"/>
      <c r="BZ303" s="180"/>
      <c r="CA303" s="180"/>
      <c r="CB303" s="180"/>
      <c r="CC303" s="180"/>
      <c r="CD303" s="180"/>
      <c r="CE303" s="180"/>
      <c r="CF303" s="180"/>
      <c r="CG303" s="180"/>
      <c r="CH303" s="180"/>
      <c r="CI303" s="180"/>
      <c r="CJ303" s="180"/>
      <c r="CK303" s="180"/>
      <c r="CL303" s="180"/>
      <c r="CM303" s="180"/>
      <c r="CN303" s="180"/>
      <c r="CO303" s="180"/>
      <c r="CP303" s="180"/>
      <c r="CQ303" s="180"/>
      <c r="CR303" s="180"/>
      <c r="CS303" s="180"/>
      <c r="CT303" s="180"/>
      <c r="CU303" s="180"/>
      <c r="CV303" s="180"/>
      <c r="CW303" s="180"/>
      <c r="CX303" s="180"/>
      <c r="CY303" s="180"/>
      <c r="CZ303" s="180"/>
    </row>
    <row r="304" spans="1:104" x14ac:dyDescent="0.45">
      <c r="A304" s="180" t="s">
        <v>14</v>
      </c>
      <c r="B304" s="73">
        <v>6</v>
      </c>
      <c r="C304" s="73">
        <v>6</v>
      </c>
      <c r="D304" s="180" t="s">
        <v>271</v>
      </c>
      <c r="E304" s="39">
        <v>43597</v>
      </c>
      <c r="F304" s="179">
        <v>0.375</v>
      </c>
      <c r="G304" s="180">
        <v>9</v>
      </c>
      <c r="H304" s="180"/>
      <c r="I304" s="180"/>
      <c r="J304" s="180"/>
      <c r="K304" s="180"/>
      <c r="L304" s="180"/>
      <c r="M304" s="180"/>
      <c r="N304" s="180"/>
      <c r="O304" s="180"/>
      <c r="P304" s="180"/>
      <c r="AS304" s="180"/>
      <c r="AT304" s="180"/>
      <c r="AU304" s="180"/>
      <c r="AV304" s="180"/>
      <c r="AW304" s="180"/>
      <c r="AX304" s="180"/>
      <c r="AY304" s="180"/>
      <c r="AZ304" s="180"/>
      <c r="BA304" s="180"/>
      <c r="BB304" s="180"/>
      <c r="BC304" s="180"/>
      <c r="BD304" s="180"/>
      <c r="BE304" s="180"/>
      <c r="BF304" s="180"/>
      <c r="BG304" s="180"/>
      <c r="BH304" s="180"/>
      <c r="BI304" s="180"/>
      <c r="BJ304" s="180"/>
      <c r="BK304" s="180"/>
      <c r="BL304" s="180"/>
      <c r="BM304" s="180"/>
      <c r="BN304" s="180"/>
      <c r="BO304" s="180"/>
      <c r="BP304" s="180"/>
      <c r="BQ304" s="180"/>
      <c r="BR304" s="180"/>
      <c r="BS304" s="180"/>
      <c r="BT304" s="180"/>
      <c r="BU304" s="180"/>
      <c r="BV304" s="180"/>
      <c r="BW304" s="180"/>
      <c r="BX304" s="180"/>
      <c r="BY304" s="180"/>
      <c r="BZ304" s="180"/>
      <c r="CA304" s="180"/>
      <c r="CB304" s="180"/>
      <c r="CC304" s="180"/>
      <c r="CD304" s="180"/>
      <c r="CE304" s="180"/>
      <c r="CF304" s="180"/>
      <c r="CG304" s="180"/>
      <c r="CH304" s="180"/>
      <c r="CI304" s="180"/>
      <c r="CJ304" s="180"/>
      <c r="CK304" s="180"/>
      <c r="CL304" s="180"/>
      <c r="CM304" s="180"/>
      <c r="CN304" s="180"/>
      <c r="CO304" s="180"/>
      <c r="CP304" s="180"/>
      <c r="CQ304" s="180"/>
      <c r="CR304" s="180"/>
      <c r="CS304" s="180"/>
      <c r="CT304" s="180"/>
      <c r="CU304" s="180"/>
      <c r="CV304" s="180"/>
      <c r="CW304" s="180"/>
      <c r="CX304" s="180"/>
      <c r="CY304" s="180"/>
      <c r="CZ304" s="180"/>
    </row>
    <row r="305" spans="1:104" x14ac:dyDescent="0.45">
      <c r="A305" s="180" t="s">
        <v>14</v>
      </c>
      <c r="B305" s="73">
        <v>6</v>
      </c>
      <c r="C305" s="73"/>
      <c r="D305" s="180" t="s">
        <v>271</v>
      </c>
      <c r="E305" s="39">
        <v>43597</v>
      </c>
      <c r="F305" s="179">
        <v>0.375</v>
      </c>
      <c r="G305" s="180">
        <v>9</v>
      </c>
      <c r="H305" s="180"/>
      <c r="I305" s="180"/>
      <c r="J305" s="180"/>
      <c r="K305" s="180"/>
      <c r="L305" s="180"/>
      <c r="M305" s="180"/>
      <c r="N305" s="180"/>
      <c r="O305" s="180"/>
      <c r="P305" s="180"/>
      <c r="AS305" s="180"/>
      <c r="AT305" s="180"/>
      <c r="AU305" s="180"/>
      <c r="AV305" s="180"/>
      <c r="AW305" s="180"/>
      <c r="AX305" s="180"/>
      <c r="AY305" s="180"/>
      <c r="AZ305" s="180"/>
      <c r="BA305" s="180"/>
      <c r="BB305" s="180"/>
      <c r="BC305" s="180"/>
      <c r="BD305" s="180"/>
      <c r="BE305" s="180"/>
      <c r="BF305" s="180"/>
      <c r="BG305" s="180"/>
      <c r="BH305" s="180"/>
      <c r="BI305" s="180"/>
      <c r="BJ305" s="180"/>
      <c r="BK305" s="180"/>
      <c r="BL305" s="180"/>
      <c r="BM305" s="180"/>
      <c r="BN305" s="180"/>
      <c r="BO305" s="180"/>
      <c r="BP305" s="180"/>
      <c r="BQ305" s="180"/>
      <c r="BR305" s="180"/>
      <c r="BS305" s="180"/>
      <c r="BT305" s="180"/>
      <c r="BU305" s="180"/>
      <c r="BV305" s="180"/>
      <c r="BW305" s="180"/>
      <c r="BX305" s="180"/>
      <c r="BY305" s="180"/>
      <c r="BZ305" s="180"/>
      <c r="CA305" s="180"/>
      <c r="CB305" s="180"/>
      <c r="CC305" s="180"/>
      <c r="CD305" s="180"/>
      <c r="CE305" s="180"/>
      <c r="CF305" s="180"/>
      <c r="CG305" s="180"/>
      <c r="CH305" s="180"/>
      <c r="CI305" s="180"/>
      <c r="CJ305" s="180"/>
      <c r="CK305" s="180"/>
      <c r="CL305" s="180"/>
      <c r="CM305" s="180"/>
      <c r="CN305" s="180"/>
      <c r="CO305" s="180"/>
      <c r="CP305" s="180"/>
      <c r="CQ305" s="180"/>
      <c r="CR305" s="180"/>
      <c r="CS305" s="180"/>
      <c r="CT305" s="180"/>
      <c r="CU305" s="180"/>
      <c r="CV305" s="180"/>
      <c r="CW305" s="180"/>
      <c r="CX305" s="180"/>
      <c r="CY305" s="180"/>
      <c r="CZ305" s="180"/>
    </row>
    <row r="306" spans="1:104" x14ac:dyDescent="0.45">
      <c r="A306" s="180" t="s">
        <v>14</v>
      </c>
      <c r="B306" s="73">
        <v>6</v>
      </c>
      <c r="C306" s="73"/>
      <c r="D306" s="180" t="s">
        <v>271</v>
      </c>
      <c r="E306" s="39">
        <v>43597</v>
      </c>
      <c r="F306" s="179">
        <v>0.375</v>
      </c>
      <c r="G306" s="180">
        <v>9</v>
      </c>
      <c r="H306" s="180"/>
      <c r="I306" s="180"/>
      <c r="J306" s="180"/>
      <c r="K306" s="180"/>
      <c r="L306" s="180"/>
      <c r="M306" s="180"/>
      <c r="N306" s="180"/>
      <c r="O306" s="180"/>
      <c r="P306" s="180"/>
      <c r="AS306" s="180"/>
      <c r="AT306" s="180"/>
      <c r="AU306" s="180"/>
      <c r="AV306" s="180"/>
      <c r="AW306" s="180"/>
      <c r="AX306" s="180"/>
      <c r="AY306" s="180"/>
      <c r="AZ306" s="180"/>
      <c r="BA306" s="180"/>
      <c r="BB306" s="180"/>
      <c r="BC306" s="180"/>
      <c r="BD306" s="180"/>
      <c r="BE306" s="180"/>
      <c r="BF306" s="180"/>
      <c r="BG306" s="180"/>
      <c r="BH306" s="180"/>
      <c r="BI306" s="180"/>
      <c r="BJ306" s="180"/>
      <c r="BK306" s="180"/>
      <c r="BL306" s="180"/>
      <c r="BM306" s="180"/>
      <c r="BN306" s="180"/>
      <c r="BO306" s="180"/>
      <c r="BP306" s="180"/>
      <c r="BQ306" s="180"/>
      <c r="BR306" s="180"/>
      <c r="BS306" s="180"/>
      <c r="BT306" s="180"/>
      <c r="BU306" s="180"/>
      <c r="BV306" s="180"/>
      <c r="BW306" s="180"/>
      <c r="BX306" s="180"/>
      <c r="BY306" s="180"/>
      <c r="BZ306" s="180"/>
      <c r="CA306" s="180"/>
      <c r="CB306" s="180"/>
      <c r="CC306" s="180"/>
      <c r="CD306" s="180"/>
      <c r="CE306" s="180"/>
      <c r="CF306" s="180"/>
      <c r="CG306" s="180"/>
      <c r="CH306" s="180"/>
      <c r="CI306" s="180"/>
      <c r="CJ306" s="180"/>
      <c r="CK306" s="180"/>
      <c r="CL306" s="180"/>
      <c r="CM306" s="180"/>
      <c r="CN306" s="180"/>
      <c r="CO306" s="180"/>
      <c r="CP306" s="180"/>
      <c r="CQ306" s="180"/>
      <c r="CR306" s="180"/>
      <c r="CS306" s="180"/>
      <c r="CT306" s="180"/>
      <c r="CU306" s="180"/>
      <c r="CV306" s="180"/>
      <c r="CW306" s="180"/>
      <c r="CX306" s="180"/>
      <c r="CY306" s="180"/>
      <c r="CZ306" s="180"/>
    </row>
    <row r="307" spans="1:104" x14ac:dyDescent="0.45">
      <c r="A307" s="180" t="s">
        <v>14</v>
      </c>
      <c r="B307" s="73">
        <v>6</v>
      </c>
      <c r="C307" s="73"/>
      <c r="D307" s="180" t="s">
        <v>271</v>
      </c>
      <c r="E307" s="39">
        <v>43597</v>
      </c>
      <c r="F307" s="179">
        <v>0.375</v>
      </c>
      <c r="G307" s="180">
        <v>9</v>
      </c>
      <c r="H307" s="180"/>
      <c r="I307" s="180"/>
      <c r="J307" s="180"/>
      <c r="K307" s="180"/>
      <c r="L307" s="180"/>
      <c r="M307" s="180"/>
      <c r="N307" s="180"/>
      <c r="O307" s="180"/>
      <c r="P307" s="180"/>
      <c r="AS307" s="180"/>
      <c r="AT307" s="180"/>
      <c r="AU307" s="180"/>
      <c r="AV307" s="180"/>
      <c r="AW307" s="180"/>
      <c r="AX307" s="180"/>
      <c r="AY307" s="180"/>
      <c r="AZ307" s="180"/>
      <c r="BA307" s="180"/>
      <c r="BB307" s="180"/>
      <c r="BC307" s="180"/>
      <c r="BD307" s="180"/>
      <c r="BE307" s="180"/>
      <c r="BF307" s="180"/>
      <c r="BG307" s="180"/>
      <c r="BH307" s="180"/>
      <c r="BI307" s="180"/>
      <c r="BJ307" s="180"/>
      <c r="BK307" s="180"/>
      <c r="BL307" s="180"/>
      <c r="BM307" s="180"/>
      <c r="BN307" s="180"/>
      <c r="BO307" s="180"/>
      <c r="BP307" s="180"/>
      <c r="BQ307" s="180"/>
      <c r="BR307" s="180"/>
      <c r="BS307" s="180"/>
      <c r="BT307" s="180"/>
      <c r="BU307" s="180"/>
      <c r="BV307" s="180"/>
      <c r="BW307" s="180"/>
      <c r="BX307" s="180"/>
      <c r="BY307" s="180"/>
      <c r="BZ307" s="180"/>
      <c r="CA307" s="180"/>
      <c r="CB307" s="180"/>
      <c r="CC307" s="180"/>
      <c r="CD307" s="180"/>
      <c r="CE307" s="180"/>
      <c r="CF307" s="180"/>
      <c r="CG307" s="180"/>
      <c r="CH307" s="180"/>
      <c r="CI307" s="180"/>
      <c r="CJ307" s="180"/>
      <c r="CK307" s="180"/>
      <c r="CL307" s="180"/>
      <c r="CM307" s="180"/>
      <c r="CN307" s="180"/>
      <c r="CO307" s="180"/>
      <c r="CP307" s="180"/>
      <c r="CQ307" s="180"/>
      <c r="CR307" s="180"/>
      <c r="CS307" s="180"/>
      <c r="CT307" s="180"/>
      <c r="CU307" s="180"/>
      <c r="CV307" s="180"/>
      <c r="CW307" s="180"/>
      <c r="CX307" s="180"/>
      <c r="CY307" s="180"/>
      <c r="CZ307" s="180"/>
    </row>
    <row r="308" spans="1:104" x14ac:dyDescent="0.45">
      <c r="A308" s="180" t="s">
        <v>14</v>
      </c>
      <c r="B308" s="73">
        <v>17</v>
      </c>
      <c r="C308" s="73">
        <v>17</v>
      </c>
      <c r="D308" s="180" t="s">
        <v>288</v>
      </c>
      <c r="E308" s="39">
        <v>43597</v>
      </c>
      <c r="F308" s="179">
        <v>0.50763888888888886</v>
      </c>
      <c r="G308" s="180">
        <v>8</v>
      </c>
      <c r="H308" s="180" t="s">
        <v>401</v>
      </c>
      <c r="I308" s="180"/>
      <c r="J308" s="180"/>
      <c r="K308" s="180"/>
      <c r="L308" s="180"/>
      <c r="M308" s="180"/>
      <c r="N308" s="180"/>
      <c r="O308" s="180"/>
      <c r="P308" s="180"/>
      <c r="AS308" s="180"/>
      <c r="AT308" s="180"/>
      <c r="AU308" s="180"/>
      <c r="AV308" s="180"/>
      <c r="AW308" s="180"/>
      <c r="AX308" s="180"/>
      <c r="AY308" s="180"/>
      <c r="AZ308" s="180"/>
      <c r="BA308" s="180"/>
      <c r="BB308" s="180"/>
      <c r="BC308" s="180"/>
      <c r="BD308" s="180"/>
      <c r="BE308" s="180"/>
      <c r="BF308" s="180"/>
      <c r="BG308" s="180"/>
      <c r="BH308" s="180"/>
      <c r="BI308" s="180"/>
      <c r="BJ308" s="180"/>
      <c r="BK308" s="180"/>
      <c r="BL308" s="180"/>
      <c r="BM308" s="180"/>
      <c r="BN308" s="180"/>
      <c r="BO308" s="180"/>
      <c r="BP308" s="180"/>
      <c r="BQ308" s="180"/>
      <c r="BR308" s="180"/>
      <c r="BS308" s="180"/>
      <c r="BT308" s="180"/>
      <c r="BU308" s="180"/>
      <c r="BV308" s="180"/>
      <c r="BW308" s="180"/>
      <c r="BX308" s="180"/>
      <c r="BY308" s="180"/>
      <c r="BZ308" s="180"/>
      <c r="CA308" s="180"/>
      <c r="CB308" s="180"/>
      <c r="CC308" s="180"/>
      <c r="CD308" s="180"/>
      <c r="CE308" s="180"/>
      <c r="CF308" s="180"/>
      <c r="CG308" s="180"/>
      <c r="CH308" s="180"/>
      <c r="CI308" s="180"/>
      <c r="CJ308" s="180"/>
      <c r="CK308" s="180"/>
      <c r="CL308" s="180"/>
      <c r="CM308" s="180"/>
      <c r="CN308" s="180"/>
      <c r="CO308" s="180"/>
      <c r="CP308" s="180"/>
      <c r="CQ308" s="180"/>
      <c r="CR308" s="180"/>
      <c r="CS308" s="180"/>
      <c r="CT308" s="180"/>
      <c r="CU308" s="180"/>
      <c r="CV308" s="180"/>
      <c r="CW308" s="180"/>
      <c r="CX308" s="180"/>
      <c r="CY308" s="180"/>
      <c r="CZ308" s="180"/>
    </row>
    <row r="309" spans="1:104" x14ac:dyDescent="0.45">
      <c r="A309" s="180" t="s">
        <v>14</v>
      </c>
      <c r="B309" s="73">
        <v>17</v>
      </c>
      <c r="C309" s="73"/>
      <c r="D309" s="180" t="s">
        <v>288</v>
      </c>
      <c r="E309" s="39">
        <v>43597</v>
      </c>
      <c r="F309" s="179">
        <v>0.50763888888888886</v>
      </c>
      <c r="G309" s="180">
        <v>8</v>
      </c>
      <c r="H309" s="180" t="s">
        <v>401</v>
      </c>
      <c r="I309" s="180"/>
      <c r="J309" s="180"/>
      <c r="K309" s="180"/>
      <c r="L309" s="180"/>
      <c r="M309" s="180"/>
      <c r="N309" s="180"/>
      <c r="O309" s="180"/>
      <c r="P309" s="180"/>
      <c r="AS309" s="180"/>
      <c r="AT309" s="180"/>
      <c r="AU309" s="180"/>
      <c r="AV309" s="180"/>
      <c r="AW309" s="180"/>
      <c r="AX309" s="180"/>
      <c r="AY309" s="180"/>
      <c r="AZ309" s="180"/>
      <c r="BA309" s="180"/>
      <c r="BB309" s="180"/>
      <c r="BC309" s="180"/>
      <c r="BD309" s="180"/>
      <c r="BE309" s="180"/>
      <c r="BF309" s="180"/>
      <c r="BG309" s="180"/>
      <c r="BH309" s="180"/>
      <c r="BI309" s="180"/>
      <c r="BJ309" s="180"/>
      <c r="BK309" s="180"/>
      <c r="BL309" s="180"/>
      <c r="BM309" s="180"/>
      <c r="BN309" s="180"/>
      <c r="BO309" s="180"/>
      <c r="BP309" s="180"/>
      <c r="BQ309" s="180"/>
      <c r="BR309" s="180"/>
      <c r="BS309" s="180"/>
      <c r="BT309" s="180"/>
      <c r="BU309" s="180"/>
      <c r="BV309" s="180"/>
      <c r="BW309" s="180"/>
      <c r="BX309" s="180"/>
      <c r="BY309" s="180"/>
      <c r="BZ309" s="180"/>
      <c r="CA309" s="180"/>
      <c r="CB309" s="180"/>
      <c r="CC309" s="180"/>
      <c r="CD309" s="180"/>
      <c r="CE309" s="180"/>
      <c r="CF309" s="180"/>
      <c r="CG309" s="180"/>
      <c r="CH309" s="180"/>
      <c r="CI309" s="180"/>
      <c r="CJ309" s="180"/>
      <c r="CK309" s="180"/>
      <c r="CL309" s="180"/>
      <c r="CM309" s="180"/>
      <c r="CN309" s="180"/>
      <c r="CO309" s="180"/>
      <c r="CP309" s="180"/>
      <c r="CQ309" s="180"/>
      <c r="CR309" s="180"/>
      <c r="CS309" s="180"/>
      <c r="CT309" s="180"/>
      <c r="CU309" s="180"/>
      <c r="CV309" s="180"/>
      <c r="CW309" s="180"/>
      <c r="CX309" s="180"/>
      <c r="CY309" s="180"/>
      <c r="CZ309" s="180"/>
    </row>
    <row r="310" spans="1:104" x14ac:dyDescent="0.45">
      <c r="A310" s="180" t="s">
        <v>14</v>
      </c>
      <c r="B310" s="73">
        <v>20</v>
      </c>
      <c r="C310" s="73"/>
      <c r="D310" s="180" t="s">
        <v>128</v>
      </c>
      <c r="E310" s="39">
        <v>43598</v>
      </c>
      <c r="F310" s="179">
        <v>0.38541666666666669</v>
      </c>
      <c r="G310" s="180">
        <v>6</v>
      </c>
      <c r="H310" s="180" t="s">
        <v>402</v>
      </c>
      <c r="I310" s="180"/>
      <c r="J310" s="180"/>
      <c r="K310" s="180"/>
      <c r="L310" s="180"/>
      <c r="M310" s="180"/>
      <c r="N310" s="180"/>
      <c r="O310" s="180"/>
      <c r="P310" s="180"/>
      <c r="AS310" s="180"/>
      <c r="AT310" s="180"/>
      <c r="AU310" s="180"/>
      <c r="AV310" s="180"/>
      <c r="AW310" s="180"/>
      <c r="AX310" s="180"/>
      <c r="AY310" s="180"/>
      <c r="AZ310" s="180"/>
      <c r="BA310" s="180"/>
      <c r="BB310" s="180"/>
      <c r="BC310" s="180"/>
      <c r="BD310" s="180"/>
      <c r="BE310" s="180"/>
      <c r="BF310" s="180"/>
      <c r="BG310" s="180"/>
      <c r="BH310" s="180"/>
      <c r="BI310" s="180"/>
      <c r="BJ310" s="180"/>
      <c r="BK310" s="180"/>
      <c r="BL310" s="180"/>
      <c r="BM310" s="180"/>
      <c r="BN310" s="180"/>
      <c r="BO310" s="180"/>
      <c r="BP310" s="180"/>
      <c r="BQ310" s="180"/>
      <c r="BR310" s="180"/>
      <c r="BS310" s="180"/>
      <c r="BT310" s="180"/>
      <c r="BU310" s="180"/>
      <c r="BV310" s="180"/>
      <c r="BW310" s="180"/>
      <c r="BX310" s="180"/>
      <c r="BY310" s="180"/>
      <c r="BZ310" s="180"/>
      <c r="CA310" s="180"/>
      <c r="CB310" s="180"/>
      <c r="CC310" s="180"/>
      <c r="CD310" s="180"/>
      <c r="CE310" s="180"/>
      <c r="CF310" s="180"/>
      <c r="CG310" s="180"/>
      <c r="CH310" s="180"/>
      <c r="CI310" s="180"/>
      <c r="CJ310" s="180"/>
      <c r="CK310" s="180"/>
      <c r="CL310" s="180"/>
      <c r="CM310" s="180"/>
      <c r="CN310" s="180"/>
      <c r="CO310" s="180"/>
      <c r="CP310" s="180"/>
      <c r="CQ310" s="180"/>
      <c r="CR310" s="180"/>
      <c r="CS310" s="180"/>
      <c r="CT310" s="180"/>
      <c r="CU310" s="180"/>
      <c r="CV310" s="180"/>
      <c r="CW310" s="180"/>
      <c r="CX310" s="180"/>
      <c r="CY310" s="180"/>
      <c r="CZ310" s="180"/>
    </row>
    <row r="311" spans="1:104" x14ac:dyDescent="0.45">
      <c r="A311" s="180" t="s">
        <v>14</v>
      </c>
      <c r="B311" s="73">
        <v>19</v>
      </c>
      <c r="C311" s="73"/>
      <c r="D311" s="180" t="s">
        <v>317</v>
      </c>
      <c r="E311" s="39">
        <v>43598</v>
      </c>
      <c r="F311" s="179">
        <v>0.42569444444444443</v>
      </c>
      <c r="G311" s="180">
        <v>4</v>
      </c>
      <c r="H311" s="180" t="s">
        <v>336</v>
      </c>
      <c r="I311" s="180"/>
      <c r="J311" s="180"/>
      <c r="K311" s="180"/>
      <c r="L311" s="180"/>
      <c r="M311" s="180"/>
      <c r="N311" s="180"/>
      <c r="O311" s="180"/>
      <c r="P311" s="180"/>
      <c r="AS311" s="180"/>
      <c r="AT311" s="180"/>
      <c r="AU311" s="180"/>
      <c r="AV311" s="180"/>
      <c r="AW311" s="180"/>
      <c r="AX311" s="180"/>
      <c r="AY311" s="180"/>
      <c r="AZ311" s="180"/>
      <c r="BA311" s="180"/>
      <c r="BB311" s="180"/>
      <c r="BC311" s="180"/>
      <c r="BD311" s="180"/>
      <c r="BE311" s="180"/>
      <c r="BF311" s="180"/>
      <c r="BG311" s="180"/>
      <c r="BH311" s="180"/>
      <c r="BI311" s="180"/>
      <c r="BJ311" s="180"/>
      <c r="BK311" s="180"/>
      <c r="BL311" s="180"/>
      <c r="BM311" s="180"/>
      <c r="BN311" s="180"/>
      <c r="BO311" s="180"/>
      <c r="BP311" s="180"/>
      <c r="BQ311" s="180"/>
      <c r="BR311" s="180"/>
      <c r="BS311" s="180"/>
      <c r="BT311" s="180"/>
      <c r="BU311" s="180"/>
      <c r="BV311" s="180"/>
      <c r="BW311" s="180"/>
      <c r="BX311" s="180"/>
      <c r="BY311" s="180"/>
      <c r="BZ311" s="180"/>
      <c r="CA311" s="180"/>
      <c r="CB311" s="180"/>
      <c r="CC311" s="180"/>
      <c r="CD311" s="180"/>
      <c r="CE311" s="180"/>
      <c r="CF311" s="180"/>
      <c r="CG311" s="180"/>
      <c r="CH311" s="180"/>
      <c r="CI311" s="180"/>
      <c r="CJ311" s="180"/>
      <c r="CK311" s="180"/>
      <c r="CL311" s="180"/>
      <c r="CM311" s="180"/>
      <c r="CN311" s="180"/>
      <c r="CO311" s="180"/>
      <c r="CP311" s="180"/>
      <c r="CQ311" s="180"/>
      <c r="CR311" s="180"/>
      <c r="CS311" s="180"/>
      <c r="CT311" s="180"/>
      <c r="CU311" s="180"/>
      <c r="CV311" s="180"/>
      <c r="CW311" s="180"/>
      <c r="CX311" s="180"/>
      <c r="CY311" s="180"/>
      <c r="CZ311" s="180"/>
    </row>
    <row r="312" spans="1:104" x14ac:dyDescent="0.45">
      <c r="A312" s="180" t="s">
        <v>14</v>
      </c>
      <c r="B312" s="73">
        <v>10</v>
      </c>
      <c r="C312" s="73">
        <v>10</v>
      </c>
      <c r="D312" s="180" t="s">
        <v>332</v>
      </c>
      <c r="E312" s="39">
        <v>43598</v>
      </c>
      <c r="F312" s="179">
        <v>0.42708333333333331</v>
      </c>
      <c r="G312" s="180">
        <v>1</v>
      </c>
      <c r="H312" s="180" t="s">
        <v>368</v>
      </c>
      <c r="I312" s="180"/>
      <c r="J312" s="180"/>
      <c r="K312" s="180"/>
      <c r="L312" s="180"/>
      <c r="M312" s="180"/>
      <c r="N312" s="180"/>
      <c r="O312" s="180"/>
      <c r="P312" s="180"/>
      <c r="AS312" s="180"/>
      <c r="AT312" s="180"/>
      <c r="AU312" s="180"/>
      <c r="AV312" s="180"/>
      <c r="AW312" s="180"/>
      <c r="AX312" s="180"/>
      <c r="AY312" s="180"/>
      <c r="AZ312" s="180"/>
      <c r="BA312" s="180"/>
      <c r="BB312" s="180"/>
      <c r="BC312" s="180"/>
      <c r="BD312" s="180"/>
      <c r="BE312" s="180"/>
      <c r="BF312" s="180"/>
      <c r="BG312" s="180"/>
      <c r="BH312" s="180"/>
      <c r="BI312" s="180"/>
      <c r="BJ312" s="180"/>
      <c r="BK312" s="180"/>
      <c r="BL312" s="180"/>
      <c r="BM312" s="180"/>
      <c r="BN312" s="180"/>
      <c r="BO312" s="180"/>
      <c r="BP312" s="180"/>
      <c r="BQ312" s="180"/>
      <c r="BR312" s="180"/>
      <c r="BS312" s="180"/>
      <c r="BT312" s="180"/>
      <c r="BU312" s="180"/>
      <c r="BV312" s="180"/>
      <c r="BW312" s="180"/>
      <c r="BX312" s="180"/>
      <c r="BY312" s="180"/>
      <c r="BZ312" s="180"/>
      <c r="CA312" s="180"/>
      <c r="CB312" s="180"/>
      <c r="CC312" s="180"/>
      <c r="CD312" s="180"/>
      <c r="CE312" s="180"/>
      <c r="CF312" s="180"/>
      <c r="CG312" s="180"/>
      <c r="CH312" s="180"/>
      <c r="CI312" s="180"/>
      <c r="CJ312" s="180"/>
      <c r="CK312" s="180"/>
      <c r="CL312" s="180"/>
      <c r="CM312" s="180"/>
      <c r="CN312" s="180"/>
      <c r="CO312" s="180"/>
      <c r="CP312" s="180"/>
      <c r="CQ312" s="180"/>
      <c r="CR312" s="180"/>
      <c r="CS312" s="180"/>
      <c r="CT312" s="180"/>
      <c r="CU312" s="180"/>
      <c r="CV312" s="180"/>
      <c r="CW312" s="180"/>
      <c r="CX312" s="180"/>
      <c r="CY312" s="180"/>
      <c r="CZ312" s="180"/>
    </row>
    <row r="313" spans="1:104" x14ac:dyDescent="0.45">
      <c r="A313" s="180" t="s">
        <v>14</v>
      </c>
      <c r="B313" s="73">
        <v>10</v>
      </c>
      <c r="C313" s="73"/>
      <c r="D313" s="180" t="s">
        <v>332</v>
      </c>
      <c r="E313" s="39">
        <v>43598</v>
      </c>
      <c r="F313" s="179">
        <v>0.42708333333333331</v>
      </c>
      <c r="G313" s="180">
        <v>1</v>
      </c>
      <c r="H313" s="180" t="s">
        <v>368</v>
      </c>
      <c r="I313" s="180"/>
      <c r="J313" s="180"/>
      <c r="K313" s="180"/>
      <c r="L313" s="180"/>
      <c r="M313" s="180"/>
      <c r="N313" s="180"/>
      <c r="O313" s="180"/>
      <c r="P313" s="180"/>
      <c r="AS313" s="180"/>
      <c r="AT313" s="180"/>
      <c r="AU313" s="180"/>
      <c r="AV313" s="180"/>
      <c r="AW313" s="180"/>
      <c r="AX313" s="180"/>
      <c r="AY313" s="180"/>
      <c r="AZ313" s="180"/>
      <c r="BA313" s="180"/>
      <c r="BB313" s="180"/>
      <c r="BC313" s="180"/>
      <c r="BD313" s="180"/>
      <c r="BE313" s="180"/>
      <c r="BF313" s="180"/>
      <c r="BG313" s="180"/>
      <c r="BH313" s="180"/>
      <c r="BI313" s="180"/>
      <c r="BJ313" s="180"/>
      <c r="BK313" s="180"/>
      <c r="BL313" s="180"/>
      <c r="BM313" s="180"/>
      <c r="BN313" s="180"/>
      <c r="BO313" s="180"/>
      <c r="BP313" s="180"/>
      <c r="BQ313" s="180"/>
      <c r="BR313" s="180"/>
      <c r="BS313" s="180"/>
      <c r="BT313" s="180"/>
      <c r="BU313" s="180"/>
      <c r="BV313" s="180"/>
      <c r="BW313" s="180"/>
      <c r="BX313" s="180"/>
      <c r="BY313" s="180"/>
      <c r="BZ313" s="180"/>
      <c r="CA313" s="180"/>
      <c r="CB313" s="180"/>
      <c r="CC313" s="180"/>
      <c r="CD313" s="180"/>
      <c r="CE313" s="180"/>
      <c r="CF313" s="180"/>
      <c r="CG313" s="180"/>
      <c r="CH313" s="180"/>
      <c r="CI313" s="180"/>
      <c r="CJ313" s="180"/>
      <c r="CK313" s="180"/>
      <c r="CL313" s="180"/>
      <c r="CM313" s="180"/>
      <c r="CN313" s="180"/>
      <c r="CO313" s="180"/>
      <c r="CP313" s="180"/>
      <c r="CQ313" s="180"/>
      <c r="CR313" s="180"/>
      <c r="CS313" s="180"/>
      <c r="CT313" s="180"/>
      <c r="CU313" s="180"/>
      <c r="CV313" s="180"/>
      <c r="CW313" s="180"/>
      <c r="CX313" s="180"/>
      <c r="CY313" s="180"/>
      <c r="CZ313" s="180"/>
    </row>
    <row r="314" spans="1:104" x14ac:dyDescent="0.45">
      <c r="A314" s="180" t="s">
        <v>14</v>
      </c>
      <c r="B314" s="73">
        <v>45</v>
      </c>
      <c r="C314" s="73">
        <v>45</v>
      </c>
      <c r="D314" s="180" t="s">
        <v>311</v>
      </c>
      <c r="E314" s="39">
        <v>43598</v>
      </c>
      <c r="F314" s="179">
        <v>0.42708333333333331</v>
      </c>
      <c r="G314" s="180">
        <v>8</v>
      </c>
      <c r="H314" s="180" t="s">
        <v>337</v>
      </c>
      <c r="I314" s="180"/>
      <c r="J314" s="180"/>
      <c r="K314" s="180"/>
      <c r="L314" s="180"/>
      <c r="M314" s="180"/>
      <c r="N314" s="180"/>
      <c r="O314" s="180"/>
      <c r="P314" s="180"/>
      <c r="AS314" s="180"/>
      <c r="AT314" s="180"/>
      <c r="AU314" s="180"/>
      <c r="AV314" s="180"/>
      <c r="AW314" s="180"/>
      <c r="AX314" s="180"/>
      <c r="AY314" s="180"/>
      <c r="AZ314" s="180"/>
      <c r="BA314" s="180"/>
      <c r="BB314" s="180"/>
      <c r="BC314" s="180"/>
      <c r="BD314" s="180"/>
      <c r="BE314" s="180"/>
      <c r="BF314" s="180"/>
      <c r="BG314" s="180"/>
      <c r="BH314" s="180"/>
      <c r="BI314" s="180"/>
      <c r="BJ314" s="180"/>
      <c r="BK314" s="180"/>
      <c r="BL314" s="180"/>
      <c r="BM314" s="180"/>
      <c r="BN314" s="180"/>
      <c r="BO314" s="180"/>
      <c r="BP314" s="180"/>
      <c r="BQ314" s="180"/>
      <c r="BR314" s="180"/>
      <c r="BS314" s="180"/>
      <c r="BT314" s="180"/>
      <c r="BU314" s="180"/>
      <c r="BV314" s="180"/>
      <c r="BW314" s="180"/>
      <c r="BX314" s="180"/>
      <c r="BY314" s="180"/>
      <c r="BZ314" s="180"/>
      <c r="CA314" s="180"/>
      <c r="CB314" s="180"/>
      <c r="CC314" s="180"/>
      <c r="CD314" s="180"/>
      <c r="CE314" s="180"/>
      <c r="CF314" s="180"/>
      <c r="CG314" s="180"/>
      <c r="CH314" s="180"/>
      <c r="CI314" s="180"/>
      <c r="CJ314" s="180"/>
      <c r="CK314" s="180"/>
      <c r="CL314" s="180"/>
      <c r="CM314" s="180"/>
      <c r="CN314" s="180"/>
      <c r="CO314" s="180"/>
      <c r="CP314" s="180"/>
      <c r="CQ314" s="180"/>
      <c r="CR314" s="180"/>
      <c r="CS314" s="180"/>
      <c r="CT314" s="180"/>
      <c r="CU314" s="180"/>
      <c r="CV314" s="180"/>
      <c r="CW314" s="180"/>
      <c r="CX314" s="180"/>
      <c r="CY314" s="180"/>
      <c r="CZ314" s="180"/>
    </row>
    <row r="315" spans="1:104" x14ac:dyDescent="0.45">
      <c r="A315" s="180" t="s">
        <v>14</v>
      </c>
      <c r="B315" s="73">
        <v>50</v>
      </c>
      <c r="C315" s="73">
        <v>50</v>
      </c>
      <c r="D315" s="180" t="s">
        <v>309</v>
      </c>
      <c r="E315" s="39">
        <v>43598</v>
      </c>
      <c r="F315" s="179">
        <v>0.4145833333333333</v>
      </c>
      <c r="G315" s="180">
        <v>2</v>
      </c>
      <c r="H315" s="180"/>
      <c r="I315" s="180"/>
      <c r="J315" s="180"/>
      <c r="K315" s="180"/>
      <c r="L315" s="180"/>
      <c r="M315" s="180"/>
      <c r="N315" s="180"/>
      <c r="O315" s="180"/>
      <c r="P315" s="180"/>
      <c r="AS315" s="180"/>
      <c r="AT315" s="180"/>
      <c r="AU315" s="180"/>
      <c r="AV315" s="180"/>
      <c r="AW315" s="180"/>
      <c r="AX315" s="180"/>
      <c r="AY315" s="180"/>
      <c r="AZ315" s="180"/>
      <c r="BA315" s="180"/>
      <c r="BB315" s="180"/>
      <c r="BC315" s="180"/>
      <c r="BD315" s="180"/>
      <c r="BE315" s="180"/>
      <c r="BF315" s="180"/>
      <c r="BG315" s="180"/>
      <c r="BH315" s="180"/>
      <c r="BI315" s="180"/>
      <c r="BJ315" s="180"/>
      <c r="BK315" s="180"/>
      <c r="BL315" s="180"/>
      <c r="BM315" s="180"/>
      <c r="BN315" s="180"/>
      <c r="BO315" s="180"/>
      <c r="BP315" s="180"/>
      <c r="BQ315" s="180"/>
      <c r="BR315" s="180"/>
      <c r="BS315" s="180"/>
      <c r="BT315" s="180"/>
      <c r="BU315" s="180"/>
      <c r="BV315" s="180"/>
      <c r="BW315" s="180"/>
      <c r="BX315" s="180"/>
      <c r="BY315" s="180"/>
      <c r="BZ315" s="180"/>
      <c r="CA315" s="180"/>
      <c r="CB315" s="180"/>
      <c r="CC315" s="180"/>
      <c r="CD315" s="180"/>
      <c r="CE315" s="180"/>
      <c r="CF315" s="180"/>
      <c r="CG315" s="180"/>
      <c r="CH315" s="180"/>
      <c r="CI315" s="180"/>
      <c r="CJ315" s="180"/>
      <c r="CK315" s="180"/>
      <c r="CL315" s="180"/>
      <c r="CM315" s="180"/>
      <c r="CN315" s="180"/>
      <c r="CO315" s="180"/>
      <c r="CP315" s="180"/>
      <c r="CQ315" s="180"/>
      <c r="CR315" s="180"/>
      <c r="CS315" s="180"/>
      <c r="CT315" s="180"/>
      <c r="CU315" s="180"/>
      <c r="CV315" s="180"/>
      <c r="CW315" s="180"/>
      <c r="CX315" s="180"/>
      <c r="CY315" s="180"/>
      <c r="CZ315" s="180"/>
    </row>
    <row r="316" spans="1:104" x14ac:dyDescent="0.45">
      <c r="A316" s="180" t="s">
        <v>14</v>
      </c>
      <c r="B316" s="73">
        <v>33</v>
      </c>
      <c r="C316" s="73"/>
      <c r="D316" s="180" t="s">
        <v>309</v>
      </c>
      <c r="E316" s="39">
        <v>43598</v>
      </c>
      <c r="F316" s="179">
        <v>0.42708333333333331</v>
      </c>
      <c r="G316" s="180">
        <v>2</v>
      </c>
      <c r="H316" s="180" t="s">
        <v>403</v>
      </c>
      <c r="I316" s="180"/>
      <c r="J316" s="180"/>
      <c r="K316" s="180"/>
      <c r="L316" s="180"/>
      <c r="M316" s="180"/>
      <c r="N316" s="180"/>
      <c r="O316" s="180"/>
      <c r="P316" s="180"/>
      <c r="AS316" s="180"/>
      <c r="AT316" s="180"/>
      <c r="AU316" s="180"/>
      <c r="AV316" s="180"/>
      <c r="AW316" s="180"/>
      <c r="AX316" s="180"/>
      <c r="AY316" s="180"/>
      <c r="AZ316" s="180"/>
      <c r="BA316" s="180"/>
      <c r="BB316" s="180"/>
      <c r="BC316" s="180"/>
      <c r="BD316" s="180"/>
      <c r="BE316" s="180"/>
      <c r="BF316" s="180"/>
      <c r="BG316" s="180"/>
      <c r="BH316" s="180"/>
      <c r="BI316" s="180"/>
      <c r="BJ316" s="180"/>
      <c r="BK316" s="180"/>
      <c r="BL316" s="180"/>
      <c r="BM316" s="180"/>
      <c r="BN316" s="180"/>
      <c r="BO316" s="180"/>
      <c r="BP316" s="180"/>
      <c r="BQ316" s="180"/>
      <c r="BR316" s="180"/>
      <c r="BS316" s="180"/>
      <c r="BT316" s="180"/>
      <c r="BU316" s="180"/>
      <c r="BV316" s="180"/>
      <c r="BW316" s="180"/>
      <c r="BX316" s="180"/>
      <c r="BY316" s="180"/>
      <c r="BZ316" s="180"/>
      <c r="CA316" s="180"/>
      <c r="CB316" s="180"/>
      <c r="CC316" s="180"/>
      <c r="CD316" s="180"/>
      <c r="CE316" s="180"/>
      <c r="CF316" s="180"/>
      <c r="CG316" s="180"/>
      <c r="CH316" s="180"/>
      <c r="CI316" s="180"/>
      <c r="CJ316" s="180"/>
      <c r="CK316" s="180"/>
      <c r="CL316" s="180"/>
      <c r="CM316" s="180"/>
      <c r="CN316" s="180"/>
      <c r="CO316" s="180"/>
      <c r="CP316" s="180"/>
      <c r="CQ316" s="180"/>
      <c r="CR316" s="180"/>
      <c r="CS316" s="180"/>
      <c r="CT316" s="180"/>
      <c r="CU316" s="180"/>
      <c r="CV316" s="180"/>
      <c r="CW316" s="180"/>
      <c r="CX316" s="180"/>
      <c r="CY316" s="180"/>
      <c r="CZ316" s="180"/>
    </row>
    <row r="317" spans="1:104" x14ac:dyDescent="0.45">
      <c r="A317" s="180" t="s">
        <v>14</v>
      </c>
      <c r="B317" s="73">
        <v>1</v>
      </c>
      <c r="C317" s="73">
        <v>1</v>
      </c>
      <c r="D317" s="180" t="s">
        <v>271</v>
      </c>
      <c r="E317" s="39">
        <v>43598</v>
      </c>
      <c r="F317" s="179">
        <v>0.42708333333333331</v>
      </c>
      <c r="G317" s="180">
        <v>3</v>
      </c>
      <c r="H317" s="180" t="s">
        <v>404</v>
      </c>
      <c r="I317" s="180"/>
      <c r="J317" s="180"/>
      <c r="K317" s="180"/>
      <c r="L317" s="180"/>
      <c r="M317" s="180"/>
      <c r="N317" s="180"/>
      <c r="O317" s="180"/>
      <c r="P317" s="180"/>
      <c r="AS317" s="180"/>
      <c r="AT317" s="180"/>
      <c r="AU317" s="180"/>
      <c r="AV317" s="180"/>
      <c r="AW317" s="180"/>
      <c r="AX317" s="180"/>
      <c r="AY317" s="180"/>
      <c r="AZ317" s="180"/>
      <c r="BA317" s="180"/>
      <c r="BB317" s="180"/>
      <c r="BC317" s="180"/>
      <c r="BD317" s="180"/>
      <c r="BE317" s="180"/>
      <c r="BF317" s="180"/>
      <c r="BG317" s="180"/>
      <c r="BH317" s="180"/>
      <c r="BI317" s="180"/>
      <c r="BJ317" s="180"/>
      <c r="BK317" s="180"/>
      <c r="BL317" s="180"/>
      <c r="BM317" s="180"/>
      <c r="BN317" s="180"/>
      <c r="BO317" s="180"/>
      <c r="BP317" s="180"/>
      <c r="BQ317" s="180"/>
      <c r="BR317" s="180"/>
      <c r="BS317" s="180"/>
      <c r="BT317" s="180"/>
      <c r="BU317" s="180"/>
      <c r="BV317" s="180"/>
      <c r="BW317" s="180"/>
      <c r="BX317" s="180"/>
      <c r="BY317" s="180"/>
      <c r="BZ317" s="180"/>
      <c r="CA317" s="180"/>
      <c r="CB317" s="180"/>
      <c r="CC317" s="180"/>
      <c r="CD317" s="180"/>
      <c r="CE317" s="180"/>
      <c r="CF317" s="180"/>
      <c r="CG317" s="180"/>
      <c r="CH317" s="180"/>
      <c r="CI317" s="180"/>
      <c r="CJ317" s="180"/>
      <c r="CK317" s="180"/>
      <c r="CL317" s="180"/>
      <c r="CM317" s="180"/>
      <c r="CN317" s="180"/>
      <c r="CO317" s="180"/>
      <c r="CP317" s="180"/>
      <c r="CQ317" s="180"/>
      <c r="CR317" s="180"/>
      <c r="CS317" s="180"/>
      <c r="CT317" s="180"/>
      <c r="CU317" s="180"/>
      <c r="CV317" s="180"/>
      <c r="CW317" s="180"/>
      <c r="CX317" s="180"/>
      <c r="CY317" s="180"/>
      <c r="CZ317" s="180"/>
    </row>
    <row r="318" spans="1:104" x14ac:dyDescent="0.45">
      <c r="A318" s="180" t="s">
        <v>14</v>
      </c>
      <c r="B318" s="73">
        <v>15</v>
      </c>
      <c r="C318" s="73">
        <v>15</v>
      </c>
      <c r="D318" s="180" t="s">
        <v>367</v>
      </c>
      <c r="E318" s="39">
        <v>43599</v>
      </c>
      <c r="F318" s="179">
        <v>0.53749999999999998</v>
      </c>
      <c r="G318" s="180">
        <v>2</v>
      </c>
      <c r="H318" s="180"/>
      <c r="I318" s="180"/>
      <c r="J318" s="180"/>
      <c r="K318" s="180"/>
      <c r="L318" s="180"/>
      <c r="M318" s="180"/>
      <c r="N318" s="180"/>
      <c r="O318" s="180"/>
      <c r="P318" s="180"/>
      <c r="AS318" s="180"/>
      <c r="AT318" s="180"/>
      <c r="AU318" s="180"/>
      <c r="AV318" s="180"/>
      <c r="AW318" s="180"/>
      <c r="AX318" s="180"/>
      <c r="AY318" s="180"/>
      <c r="AZ318" s="180"/>
      <c r="BA318" s="180"/>
      <c r="BB318" s="180"/>
      <c r="BC318" s="180"/>
      <c r="BD318" s="180"/>
      <c r="BE318" s="180"/>
      <c r="BF318" s="180"/>
      <c r="BG318" s="180"/>
      <c r="BH318" s="180"/>
      <c r="BI318" s="180"/>
      <c r="BJ318" s="180"/>
      <c r="BK318" s="180"/>
      <c r="BL318" s="180"/>
      <c r="BM318" s="180"/>
      <c r="BN318" s="180"/>
      <c r="BO318" s="180"/>
      <c r="BP318" s="180"/>
      <c r="BQ318" s="180"/>
      <c r="BR318" s="180"/>
      <c r="BS318" s="180"/>
      <c r="BT318" s="180"/>
      <c r="BU318" s="180"/>
      <c r="BV318" s="180"/>
      <c r="BW318" s="180"/>
      <c r="BX318" s="180"/>
      <c r="BY318" s="180"/>
      <c r="BZ318" s="180"/>
      <c r="CA318" s="180"/>
      <c r="CB318" s="180"/>
      <c r="CC318" s="180"/>
      <c r="CD318" s="180"/>
      <c r="CE318" s="180"/>
      <c r="CF318" s="180"/>
      <c r="CG318" s="180"/>
      <c r="CH318" s="180"/>
      <c r="CI318" s="180"/>
      <c r="CJ318" s="180"/>
      <c r="CK318" s="180"/>
      <c r="CL318" s="180"/>
      <c r="CM318" s="180"/>
      <c r="CN318" s="180"/>
      <c r="CO318" s="180"/>
      <c r="CP318" s="180"/>
      <c r="CQ318" s="180"/>
      <c r="CR318" s="180"/>
      <c r="CS318" s="180"/>
      <c r="CT318" s="180"/>
      <c r="CU318" s="180"/>
      <c r="CV318" s="180"/>
      <c r="CW318" s="180"/>
      <c r="CX318" s="180"/>
      <c r="CY318" s="180"/>
      <c r="CZ318" s="180"/>
    </row>
    <row r="319" spans="1:104" x14ac:dyDescent="0.45">
      <c r="A319" s="180" t="s">
        <v>14</v>
      </c>
      <c r="B319" s="73">
        <v>14</v>
      </c>
      <c r="C319" s="73">
        <v>13</v>
      </c>
      <c r="D319" s="180" t="s">
        <v>311</v>
      </c>
      <c r="E319" s="39">
        <v>43599</v>
      </c>
      <c r="F319" s="179">
        <v>0.47361111111111115</v>
      </c>
      <c r="G319" s="180">
        <v>1</v>
      </c>
      <c r="H319" s="180"/>
      <c r="I319" s="180"/>
      <c r="J319" s="180"/>
      <c r="K319" s="180"/>
      <c r="L319" s="180"/>
      <c r="M319" s="180"/>
      <c r="N319" s="180"/>
      <c r="O319" s="180"/>
      <c r="P319" s="180"/>
      <c r="AS319" s="180"/>
      <c r="AT319" s="180"/>
      <c r="AU319" s="180"/>
      <c r="AV319" s="180"/>
      <c r="AW319" s="180"/>
      <c r="AX319" s="180"/>
      <c r="AY319" s="180"/>
      <c r="AZ319" s="180"/>
      <c r="BA319" s="180"/>
      <c r="BB319" s="180"/>
      <c r="BC319" s="180"/>
      <c r="BD319" s="180"/>
      <c r="BE319" s="180"/>
      <c r="BF319" s="180"/>
      <c r="BG319" s="180"/>
      <c r="BH319" s="180"/>
      <c r="BI319" s="180"/>
      <c r="BJ319" s="180"/>
      <c r="BK319" s="180"/>
      <c r="BL319" s="180"/>
      <c r="BM319" s="180"/>
      <c r="BN319" s="180"/>
      <c r="BO319" s="180"/>
      <c r="BP319" s="180"/>
      <c r="BQ319" s="180"/>
      <c r="BR319" s="180"/>
      <c r="BS319" s="180"/>
      <c r="BT319" s="180"/>
      <c r="BU319" s="180"/>
      <c r="BV319" s="180"/>
      <c r="BW319" s="180"/>
      <c r="BX319" s="180"/>
      <c r="BY319" s="180"/>
      <c r="BZ319" s="180"/>
      <c r="CA319" s="180"/>
      <c r="CB319" s="180"/>
      <c r="CC319" s="180"/>
      <c r="CD319" s="180"/>
      <c r="CE319" s="180"/>
      <c r="CF319" s="180"/>
      <c r="CG319" s="180"/>
      <c r="CH319" s="180"/>
      <c r="CI319" s="180"/>
      <c r="CJ319" s="180"/>
      <c r="CK319" s="180"/>
      <c r="CL319" s="180"/>
      <c r="CM319" s="180"/>
      <c r="CN319" s="180"/>
      <c r="CO319" s="180"/>
      <c r="CP319" s="180"/>
      <c r="CQ319" s="180"/>
      <c r="CR319" s="180"/>
      <c r="CS319" s="180"/>
      <c r="CT319" s="180"/>
      <c r="CU319" s="180"/>
      <c r="CV319" s="180"/>
      <c r="CW319" s="180"/>
      <c r="CX319" s="180"/>
      <c r="CY319" s="180"/>
      <c r="CZ319" s="180"/>
    </row>
    <row r="320" spans="1:104" x14ac:dyDescent="0.45">
      <c r="A320" s="180" t="s">
        <v>14</v>
      </c>
      <c r="B320" s="73">
        <v>5</v>
      </c>
      <c r="C320" s="73">
        <v>5</v>
      </c>
      <c r="D320" s="180" t="s">
        <v>309</v>
      </c>
      <c r="E320" s="39">
        <v>43599</v>
      </c>
      <c r="F320" s="179">
        <v>0.48958333333333331</v>
      </c>
      <c r="G320" s="180">
        <v>1</v>
      </c>
      <c r="H320" s="180"/>
      <c r="I320" s="180" t="s">
        <v>313</v>
      </c>
      <c r="J320" s="180"/>
      <c r="K320" s="180"/>
      <c r="L320" s="180"/>
      <c r="M320" s="180"/>
      <c r="N320" s="180"/>
      <c r="O320" s="180"/>
      <c r="P320" s="180"/>
      <c r="AS320" s="180"/>
      <c r="AT320" s="180"/>
      <c r="AU320" s="180"/>
      <c r="AV320" s="180"/>
      <c r="AW320" s="180"/>
      <c r="AX320" s="180"/>
      <c r="AY320" s="180"/>
      <c r="AZ320" s="180"/>
      <c r="BA320" s="180"/>
      <c r="BB320" s="180"/>
      <c r="BC320" s="180"/>
      <c r="BD320" s="180"/>
      <c r="BE320" s="180"/>
      <c r="BF320" s="180"/>
      <c r="BG320" s="180"/>
      <c r="BH320" s="180"/>
      <c r="BI320" s="180"/>
      <c r="BJ320" s="180"/>
      <c r="BK320" s="180"/>
      <c r="BL320" s="180"/>
      <c r="BM320" s="180"/>
      <c r="BN320" s="180"/>
      <c r="BO320" s="180"/>
      <c r="BP320" s="180"/>
      <c r="BQ320" s="180"/>
      <c r="BR320" s="180"/>
      <c r="BS320" s="180"/>
      <c r="BT320" s="180"/>
      <c r="BU320" s="180"/>
      <c r="BV320" s="180"/>
      <c r="BW320" s="180"/>
      <c r="BX320" s="180"/>
      <c r="BY320" s="180"/>
      <c r="BZ320" s="180"/>
      <c r="CA320" s="180"/>
      <c r="CB320" s="180"/>
      <c r="CC320" s="180"/>
      <c r="CD320" s="180"/>
      <c r="CE320" s="180"/>
      <c r="CF320" s="180"/>
      <c r="CG320" s="180"/>
      <c r="CH320" s="180"/>
      <c r="CI320" s="180"/>
      <c r="CJ320" s="180"/>
      <c r="CK320" s="180"/>
      <c r="CL320" s="180"/>
      <c r="CM320" s="180"/>
      <c r="CN320" s="180"/>
      <c r="CO320" s="180"/>
      <c r="CP320" s="180"/>
      <c r="CQ320" s="180"/>
      <c r="CR320" s="180"/>
      <c r="CS320" s="180"/>
      <c r="CT320" s="180"/>
      <c r="CU320" s="180"/>
      <c r="CV320" s="180"/>
      <c r="CW320" s="180"/>
      <c r="CX320" s="180"/>
      <c r="CY320" s="180"/>
      <c r="CZ320" s="180"/>
    </row>
    <row r="321" spans="1:104" x14ac:dyDescent="0.45">
      <c r="A321" s="180" t="s">
        <v>14</v>
      </c>
      <c r="B321" s="73">
        <v>10</v>
      </c>
      <c r="C321" s="73">
        <v>10</v>
      </c>
      <c r="D321" s="180" t="s">
        <v>271</v>
      </c>
      <c r="E321" s="39">
        <v>43599</v>
      </c>
      <c r="F321" s="179">
        <v>0.59305555555555556</v>
      </c>
      <c r="G321" s="180">
        <v>1</v>
      </c>
      <c r="H321" s="180"/>
      <c r="I321" s="180"/>
      <c r="J321" s="180"/>
      <c r="K321" s="180"/>
      <c r="L321" s="180"/>
      <c r="M321" s="180"/>
      <c r="N321" s="180"/>
      <c r="O321" s="180"/>
      <c r="P321" s="180"/>
      <c r="AS321" s="180"/>
      <c r="AT321" s="180"/>
      <c r="AU321" s="180"/>
      <c r="AV321" s="180"/>
      <c r="AW321" s="180"/>
      <c r="AX321" s="180"/>
      <c r="AY321" s="180"/>
      <c r="AZ321" s="180"/>
      <c r="BA321" s="180"/>
      <c r="BB321" s="180"/>
      <c r="BC321" s="180"/>
      <c r="BD321" s="180"/>
      <c r="BE321" s="180"/>
      <c r="BF321" s="180"/>
      <c r="BG321" s="180"/>
      <c r="BH321" s="180"/>
      <c r="BI321" s="180"/>
      <c r="BJ321" s="180"/>
      <c r="BK321" s="180"/>
      <c r="BL321" s="180"/>
      <c r="BM321" s="180"/>
      <c r="BN321" s="180"/>
      <c r="BO321" s="180"/>
      <c r="BP321" s="180"/>
      <c r="BQ321" s="180"/>
      <c r="BR321" s="180"/>
      <c r="BS321" s="180"/>
      <c r="BT321" s="180"/>
      <c r="BU321" s="180"/>
      <c r="BV321" s="180"/>
      <c r="BW321" s="180"/>
      <c r="BX321" s="180"/>
      <c r="BY321" s="180"/>
      <c r="BZ321" s="180"/>
      <c r="CA321" s="180"/>
      <c r="CB321" s="180"/>
      <c r="CC321" s="180"/>
      <c r="CD321" s="180"/>
      <c r="CE321" s="180"/>
      <c r="CF321" s="180"/>
      <c r="CG321" s="180"/>
      <c r="CH321" s="180"/>
      <c r="CI321" s="180"/>
      <c r="CJ321" s="180"/>
      <c r="CK321" s="180"/>
      <c r="CL321" s="180"/>
      <c r="CM321" s="180"/>
      <c r="CN321" s="180"/>
      <c r="CO321" s="180"/>
      <c r="CP321" s="180"/>
      <c r="CQ321" s="180"/>
      <c r="CR321" s="180"/>
      <c r="CS321" s="180"/>
      <c r="CT321" s="180"/>
      <c r="CU321" s="180"/>
      <c r="CV321" s="180"/>
      <c r="CW321" s="180"/>
      <c r="CX321" s="180"/>
      <c r="CY321" s="180"/>
      <c r="CZ321" s="180"/>
    </row>
    <row r="322" spans="1:104" x14ac:dyDescent="0.45">
      <c r="A322" s="180" t="s">
        <v>14</v>
      </c>
      <c r="B322" s="73">
        <v>100</v>
      </c>
      <c r="C322" s="73">
        <v>100</v>
      </c>
      <c r="D322" s="180" t="s">
        <v>309</v>
      </c>
      <c r="E322" s="39">
        <v>43601</v>
      </c>
      <c r="F322" s="179">
        <v>0.54166666666666663</v>
      </c>
      <c r="G322" s="180">
        <v>1</v>
      </c>
      <c r="H322" s="180"/>
      <c r="I322" s="180"/>
      <c r="J322" s="180"/>
      <c r="K322" s="180"/>
      <c r="L322" s="180"/>
      <c r="M322" s="180"/>
      <c r="N322" s="180"/>
      <c r="O322" s="180"/>
      <c r="P322" s="180"/>
      <c r="AS322" s="180"/>
      <c r="AT322" s="180"/>
      <c r="AU322" s="180"/>
      <c r="AV322" s="180"/>
      <c r="AW322" s="180"/>
      <c r="AX322" s="180"/>
      <c r="AY322" s="180"/>
      <c r="AZ322" s="180"/>
      <c r="BA322" s="180"/>
      <c r="BB322" s="180"/>
      <c r="BC322" s="180"/>
      <c r="BD322" s="180"/>
      <c r="BE322" s="180"/>
      <c r="BF322" s="180"/>
      <c r="BG322" s="180"/>
      <c r="BH322" s="180"/>
      <c r="BI322" s="180"/>
      <c r="BJ322" s="180"/>
      <c r="BK322" s="180"/>
      <c r="BL322" s="180"/>
      <c r="BM322" s="180"/>
      <c r="BN322" s="180"/>
      <c r="BO322" s="180"/>
      <c r="BP322" s="180"/>
      <c r="BQ322" s="180"/>
      <c r="BR322" s="180"/>
      <c r="BS322" s="180"/>
      <c r="BT322" s="180"/>
      <c r="BU322" s="180"/>
      <c r="BV322" s="180"/>
      <c r="BW322" s="180"/>
      <c r="BX322" s="180"/>
      <c r="BY322" s="180"/>
      <c r="BZ322" s="180"/>
      <c r="CA322" s="180"/>
      <c r="CB322" s="180"/>
      <c r="CC322" s="180"/>
      <c r="CD322" s="180"/>
      <c r="CE322" s="180"/>
      <c r="CF322" s="180"/>
      <c r="CG322" s="180"/>
      <c r="CH322" s="180"/>
      <c r="CI322" s="180"/>
      <c r="CJ322" s="180"/>
      <c r="CK322" s="180"/>
      <c r="CL322" s="180"/>
      <c r="CM322" s="180"/>
      <c r="CN322" s="180"/>
      <c r="CO322" s="180"/>
      <c r="CP322" s="180"/>
      <c r="CQ322" s="180"/>
      <c r="CR322" s="180"/>
      <c r="CS322" s="180"/>
      <c r="CT322" s="180"/>
      <c r="CU322" s="180"/>
      <c r="CV322" s="180"/>
      <c r="CW322" s="180"/>
      <c r="CX322" s="180"/>
      <c r="CY322" s="180"/>
      <c r="CZ322" s="180"/>
    </row>
    <row r="323" spans="1:104" x14ac:dyDescent="0.45">
      <c r="A323" s="180" t="s">
        <v>14</v>
      </c>
      <c r="B323" s="73">
        <v>50</v>
      </c>
      <c r="C323" s="73">
        <v>50</v>
      </c>
      <c r="D323" s="180" t="s">
        <v>271</v>
      </c>
      <c r="E323" s="39">
        <v>43601</v>
      </c>
      <c r="F323" s="179">
        <v>0.5625</v>
      </c>
      <c r="G323" s="180">
        <v>1</v>
      </c>
      <c r="H323" s="180"/>
      <c r="I323" s="180"/>
      <c r="J323" s="180"/>
      <c r="K323" s="180"/>
      <c r="L323" s="180"/>
      <c r="M323" s="180"/>
      <c r="N323" s="180"/>
      <c r="O323" s="180"/>
      <c r="P323" s="180"/>
      <c r="AS323" s="180"/>
      <c r="AT323" s="180"/>
      <c r="AU323" s="180"/>
      <c r="AV323" s="180"/>
      <c r="AW323" s="180"/>
      <c r="AX323" s="180"/>
      <c r="AY323" s="180"/>
      <c r="AZ323" s="180"/>
      <c r="BA323" s="180"/>
      <c r="BB323" s="180"/>
      <c r="BC323" s="180"/>
      <c r="BD323" s="180"/>
      <c r="BE323" s="180"/>
      <c r="BF323" s="180"/>
      <c r="BG323" s="180"/>
      <c r="BH323" s="180"/>
      <c r="BI323" s="180"/>
      <c r="BJ323" s="180"/>
      <c r="BK323" s="180"/>
      <c r="BL323" s="180"/>
      <c r="BM323" s="180"/>
      <c r="BN323" s="180"/>
      <c r="BO323" s="180"/>
      <c r="BP323" s="180"/>
      <c r="BQ323" s="180"/>
      <c r="BR323" s="180"/>
      <c r="BS323" s="180"/>
      <c r="BT323" s="180"/>
      <c r="BU323" s="180"/>
      <c r="BV323" s="180"/>
      <c r="BW323" s="180"/>
      <c r="BX323" s="180"/>
      <c r="BY323" s="180"/>
      <c r="BZ323" s="180"/>
      <c r="CA323" s="180"/>
      <c r="CB323" s="180"/>
      <c r="CC323" s="180"/>
      <c r="CD323" s="180"/>
      <c r="CE323" s="180"/>
      <c r="CF323" s="180"/>
      <c r="CG323" s="180"/>
      <c r="CH323" s="180"/>
      <c r="CI323" s="180"/>
      <c r="CJ323" s="180"/>
      <c r="CK323" s="180"/>
      <c r="CL323" s="180"/>
      <c r="CM323" s="180"/>
      <c r="CN323" s="180"/>
      <c r="CO323" s="180"/>
      <c r="CP323" s="180"/>
      <c r="CQ323" s="180"/>
      <c r="CR323" s="180"/>
      <c r="CS323" s="180"/>
      <c r="CT323" s="180"/>
      <c r="CU323" s="180"/>
      <c r="CV323" s="180"/>
      <c r="CW323" s="180"/>
      <c r="CX323" s="180"/>
      <c r="CY323" s="180"/>
      <c r="CZ323" s="180"/>
    </row>
    <row r="324" spans="1:104" x14ac:dyDescent="0.45">
      <c r="A324" s="180" t="s">
        <v>14</v>
      </c>
      <c r="B324" s="73">
        <v>1</v>
      </c>
      <c r="C324" s="73"/>
      <c r="D324" s="180" t="s">
        <v>271</v>
      </c>
      <c r="E324" s="39">
        <v>43601</v>
      </c>
      <c r="F324" s="179">
        <v>0.45833333333333331</v>
      </c>
      <c r="G324" s="180">
        <v>1</v>
      </c>
      <c r="H324" s="180"/>
      <c r="I324" s="180"/>
      <c r="J324" s="180"/>
      <c r="K324" s="180"/>
      <c r="L324" s="180"/>
      <c r="M324" s="180"/>
      <c r="N324" s="180"/>
      <c r="O324" s="180"/>
      <c r="P324" s="180"/>
      <c r="AS324" s="180"/>
      <c r="AT324" s="180"/>
      <c r="AU324" s="180"/>
      <c r="AV324" s="180"/>
      <c r="AW324" s="180"/>
      <c r="AX324" s="180"/>
      <c r="AY324" s="180"/>
      <c r="AZ324" s="180"/>
      <c r="BA324" s="180"/>
      <c r="BB324" s="180"/>
      <c r="BC324" s="180"/>
      <c r="BD324" s="180"/>
      <c r="BE324" s="180"/>
      <c r="BF324" s="180"/>
      <c r="BG324" s="180"/>
      <c r="BH324" s="180"/>
      <c r="BI324" s="180"/>
      <c r="BJ324" s="180"/>
      <c r="BK324" s="180"/>
      <c r="BL324" s="180"/>
      <c r="BM324" s="180"/>
      <c r="BN324" s="180"/>
      <c r="BO324" s="180"/>
      <c r="BP324" s="180"/>
      <c r="BQ324" s="180"/>
      <c r="BR324" s="180"/>
      <c r="BS324" s="180"/>
      <c r="BT324" s="180"/>
      <c r="BU324" s="180"/>
      <c r="BV324" s="180"/>
      <c r="BW324" s="180"/>
      <c r="BX324" s="180"/>
      <c r="BY324" s="180"/>
      <c r="BZ324" s="180"/>
      <c r="CA324" s="180"/>
      <c r="CB324" s="180"/>
      <c r="CC324" s="180"/>
      <c r="CD324" s="180"/>
      <c r="CE324" s="180"/>
      <c r="CF324" s="180"/>
      <c r="CG324" s="180"/>
      <c r="CH324" s="180"/>
      <c r="CI324" s="180"/>
      <c r="CJ324" s="180"/>
      <c r="CK324" s="180"/>
      <c r="CL324" s="180"/>
      <c r="CM324" s="180"/>
      <c r="CN324" s="180"/>
      <c r="CO324" s="180"/>
      <c r="CP324" s="180"/>
      <c r="CQ324" s="180"/>
      <c r="CR324" s="180"/>
      <c r="CS324" s="180"/>
      <c r="CT324" s="180"/>
      <c r="CU324" s="180"/>
      <c r="CV324" s="180"/>
      <c r="CW324" s="180"/>
      <c r="CX324" s="180"/>
      <c r="CY324" s="180"/>
      <c r="CZ324" s="180"/>
    </row>
    <row r="325" spans="1:104" x14ac:dyDescent="0.45">
      <c r="A325" s="180" t="s">
        <v>14</v>
      </c>
      <c r="B325" s="73">
        <v>20</v>
      </c>
      <c r="C325" s="73"/>
      <c r="D325" s="180" t="s">
        <v>271</v>
      </c>
      <c r="E325" s="39">
        <v>43601</v>
      </c>
      <c r="F325" s="179">
        <v>0.70486111111111116</v>
      </c>
      <c r="G325" s="180">
        <v>2</v>
      </c>
      <c r="H325" s="180" t="s">
        <v>405</v>
      </c>
      <c r="I325" s="180" t="s">
        <v>406</v>
      </c>
      <c r="J325" s="180"/>
      <c r="K325" s="180"/>
      <c r="L325" s="180"/>
      <c r="M325" s="180"/>
      <c r="N325" s="180"/>
      <c r="O325" s="180"/>
      <c r="P325" s="180"/>
      <c r="AS325" s="180"/>
      <c r="AT325" s="180"/>
      <c r="AU325" s="180"/>
      <c r="AV325" s="180"/>
      <c r="AW325" s="180"/>
      <c r="AX325" s="180"/>
      <c r="AY325" s="180"/>
      <c r="AZ325" s="180"/>
      <c r="BA325" s="180"/>
      <c r="BB325" s="180"/>
      <c r="BC325" s="180"/>
      <c r="BD325" s="180"/>
      <c r="BE325" s="180"/>
      <c r="BF325" s="180"/>
      <c r="BG325" s="180"/>
      <c r="BH325" s="180"/>
      <c r="BI325" s="180"/>
      <c r="BJ325" s="180"/>
      <c r="BK325" s="180"/>
      <c r="BL325" s="180"/>
      <c r="BM325" s="180"/>
      <c r="BN325" s="180"/>
      <c r="BO325" s="180"/>
      <c r="BP325" s="180"/>
      <c r="BQ325" s="180"/>
      <c r="BR325" s="180"/>
      <c r="BS325" s="180"/>
      <c r="BT325" s="180"/>
      <c r="BU325" s="180"/>
      <c r="BV325" s="180"/>
      <c r="BW325" s="180"/>
      <c r="BX325" s="180"/>
      <c r="BY325" s="180"/>
      <c r="BZ325" s="180"/>
      <c r="CA325" s="180"/>
      <c r="CB325" s="180"/>
      <c r="CC325" s="180"/>
      <c r="CD325" s="180"/>
      <c r="CE325" s="180"/>
      <c r="CF325" s="180"/>
      <c r="CG325" s="180"/>
      <c r="CH325" s="180"/>
      <c r="CI325" s="180"/>
      <c r="CJ325" s="180"/>
      <c r="CK325" s="180"/>
      <c r="CL325" s="180"/>
      <c r="CM325" s="180"/>
      <c r="CN325" s="180"/>
      <c r="CO325" s="180"/>
      <c r="CP325" s="180"/>
      <c r="CQ325" s="180"/>
      <c r="CR325" s="180"/>
      <c r="CS325" s="180"/>
      <c r="CT325" s="180"/>
      <c r="CU325" s="180"/>
      <c r="CV325" s="180"/>
      <c r="CW325" s="180"/>
      <c r="CX325" s="180"/>
      <c r="CY325" s="180"/>
      <c r="CZ325" s="180"/>
    </row>
    <row r="326" spans="1:104" x14ac:dyDescent="0.45">
      <c r="A326" s="180" t="s">
        <v>14</v>
      </c>
      <c r="B326" s="73">
        <v>25</v>
      </c>
      <c r="C326" s="73"/>
      <c r="D326" s="180" t="s">
        <v>271</v>
      </c>
      <c r="E326" s="39">
        <v>43601</v>
      </c>
      <c r="F326" s="179">
        <v>0.54027777777777775</v>
      </c>
      <c r="G326" s="180">
        <v>1</v>
      </c>
      <c r="H326" s="180"/>
      <c r="I326" s="180"/>
      <c r="J326" s="180"/>
      <c r="K326" s="180"/>
      <c r="L326" s="180"/>
      <c r="M326" s="180"/>
      <c r="N326" s="180"/>
      <c r="O326" s="180"/>
      <c r="P326" s="180"/>
      <c r="AS326" s="180"/>
      <c r="AT326" s="180"/>
      <c r="AU326" s="180"/>
      <c r="AV326" s="180"/>
      <c r="AW326" s="180"/>
      <c r="AX326" s="180"/>
      <c r="AY326" s="180"/>
      <c r="AZ326" s="180"/>
      <c r="BA326" s="180"/>
      <c r="BB326" s="180"/>
      <c r="BC326" s="180"/>
      <c r="BD326" s="180"/>
      <c r="BE326" s="180"/>
      <c r="BF326" s="180"/>
      <c r="BG326" s="180"/>
      <c r="BH326" s="180"/>
      <c r="BI326" s="180"/>
      <c r="BJ326" s="180"/>
      <c r="BK326" s="180"/>
      <c r="BL326" s="180"/>
      <c r="BM326" s="180"/>
      <c r="BN326" s="180"/>
      <c r="BO326" s="180"/>
      <c r="BP326" s="180"/>
      <c r="BQ326" s="180"/>
      <c r="BR326" s="180"/>
      <c r="BS326" s="180"/>
      <c r="BT326" s="180"/>
      <c r="BU326" s="180"/>
      <c r="BV326" s="180"/>
      <c r="BW326" s="180"/>
      <c r="BX326" s="180"/>
      <c r="BY326" s="180"/>
      <c r="BZ326" s="180"/>
      <c r="CA326" s="180"/>
      <c r="CB326" s="180"/>
      <c r="CC326" s="180"/>
      <c r="CD326" s="180"/>
      <c r="CE326" s="180"/>
      <c r="CF326" s="180"/>
      <c r="CG326" s="180"/>
      <c r="CH326" s="180"/>
      <c r="CI326" s="180"/>
      <c r="CJ326" s="180"/>
      <c r="CK326" s="180"/>
      <c r="CL326" s="180"/>
      <c r="CM326" s="180"/>
      <c r="CN326" s="180"/>
      <c r="CO326" s="180"/>
      <c r="CP326" s="180"/>
      <c r="CQ326" s="180"/>
      <c r="CR326" s="180"/>
      <c r="CS326" s="180"/>
      <c r="CT326" s="180"/>
      <c r="CU326" s="180"/>
      <c r="CV326" s="180"/>
      <c r="CW326" s="180"/>
      <c r="CX326" s="180"/>
      <c r="CY326" s="180"/>
      <c r="CZ326" s="180"/>
    </row>
    <row r="327" spans="1:104" x14ac:dyDescent="0.45">
      <c r="A327" s="180" t="s">
        <v>14</v>
      </c>
      <c r="B327" s="73">
        <v>11</v>
      </c>
      <c r="C327" s="73"/>
      <c r="D327" s="180" t="s">
        <v>271</v>
      </c>
      <c r="E327" s="39">
        <v>43601</v>
      </c>
      <c r="F327" s="179">
        <v>0.4993055555555555</v>
      </c>
      <c r="G327" s="180">
        <v>1</v>
      </c>
      <c r="H327" s="180"/>
      <c r="I327" s="180"/>
      <c r="J327" s="180"/>
      <c r="K327" s="180"/>
      <c r="L327" s="180"/>
      <c r="M327" s="180"/>
      <c r="N327" s="180"/>
      <c r="O327" s="180"/>
      <c r="P327" s="180"/>
      <c r="AS327" s="180"/>
      <c r="AT327" s="180"/>
      <c r="AU327" s="180"/>
      <c r="AV327" s="180"/>
      <c r="AW327" s="180"/>
      <c r="AX327" s="180"/>
      <c r="AY327" s="180"/>
      <c r="AZ327" s="180"/>
      <c r="BA327" s="180"/>
      <c r="BB327" s="180"/>
      <c r="BC327" s="180"/>
      <c r="BD327" s="180"/>
      <c r="BE327" s="180"/>
      <c r="BF327" s="180"/>
      <c r="BG327" s="180"/>
      <c r="BH327" s="180"/>
      <c r="BI327" s="180"/>
      <c r="BJ327" s="180"/>
      <c r="BK327" s="180"/>
      <c r="BL327" s="180"/>
      <c r="BM327" s="180"/>
      <c r="BN327" s="180"/>
      <c r="BO327" s="180"/>
      <c r="BP327" s="180"/>
      <c r="BQ327" s="180"/>
      <c r="BR327" s="180"/>
      <c r="BS327" s="180"/>
      <c r="BT327" s="180"/>
      <c r="BU327" s="180"/>
      <c r="BV327" s="180"/>
      <c r="BW327" s="180"/>
      <c r="BX327" s="180"/>
      <c r="BY327" s="180"/>
      <c r="BZ327" s="180"/>
      <c r="CA327" s="180"/>
      <c r="CB327" s="180"/>
      <c r="CC327" s="180"/>
      <c r="CD327" s="180"/>
      <c r="CE327" s="180"/>
      <c r="CF327" s="180"/>
      <c r="CG327" s="180"/>
      <c r="CH327" s="180"/>
      <c r="CI327" s="180"/>
      <c r="CJ327" s="180"/>
      <c r="CK327" s="180"/>
      <c r="CL327" s="180"/>
      <c r="CM327" s="180"/>
      <c r="CN327" s="180"/>
      <c r="CO327" s="180"/>
      <c r="CP327" s="180"/>
      <c r="CQ327" s="180"/>
      <c r="CR327" s="180"/>
      <c r="CS327" s="180"/>
      <c r="CT327" s="180"/>
      <c r="CU327" s="180"/>
      <c r="CV327" s="180"/>
      <c r="CW327" s="180"/>
      <c r="CX327" s="180"/>
      <c r="CY327" s="180"/>
      <c r="CZ327" s="180"/>
    </row>
    <row r="328" spans="1:104" x14ac:dyDescent="0.45">
      <c r="A328" s="180" t="s">
        <v>14</v>
      </c>
      <c r="B328" s="73">
        <v>14</v>
      </c>
      <c r="C328" s="73"/>
      <c r="D328" s="180" t="s">
        <v>317</v>
      </c>
      <c r="E328" s="39">
        <v>43603</v>
      </c>
      <c r="F328" s="179">
        <v>0.70694444444444438</v>
      </c>
      <c r="G328" s="180">
        <v>7</v>
      </c>
      <c r="H328" s="180" t="s">
        <v>407</v>
      </c>
      <c r="I328" s="180"/>
      <c r="J328" s="180"/>
      <c r="K328" s="180"/>
      <c r="L328" s="180"/>
      <c r="M328" s="180"/>
      <c r="N328" s="180"/>
      <c r="O328" s="180"/>
      <c r="P328" s="180"/>
      <c r="AS328" s="180"/>
      <c r="AT328" s="180"/>
      <c r="AU328" s="180"/>
      <c r="AV328" s="180"/>
      <c r="AW328" s="180"/>
      <c r="AX328" s="180"/>
      <c r="AY328" s="180"/>
      <c r="AZ328" s="180"/>
      <c r="BA328" s="180"/>
      <c r="BB328" s="180"/>
      <c r="BC328" s="180"/>
      <c r="BD328" s="180"/>
      <c r="BE328" s="180"/>
      <c r="BF328" s="180"/>
      <c r="BG328" s="180"/>
      <c r="BH328" s="180"/>
      <c r="BI328" s="180"/>
      <c r="BJ328" s="180"/>
      <c r="BK328" s="180"/>
      <c r="BL328" s="180"/>
      <c r="BM328" s="180"/>
      <c r="BN328" s="180"/>
      <c r="BO328" s="180"/>
      <c r="BP328" s="180"/>
      <c r="BQ328" s="180"/>
      <c r="BR328" s="180"/>
      <c r="BS328" s="180"/>
      <c r="BT328" s="180"/>
      <c r="BU328" s="180"/>
      <c r="BV328" s="180"/>
      <c r="BW328" s="180"/>
      <c r="BX328" s="180"/>
      <c r="BY328" s="180"/>
      <c r="BZ328" s="180"/>
      <c r="CA328" s="180"/>
      <c r="CB328" s="180"/>
      <c r="CC328" s="180"/>
      <c r="CD328" s="180"/>
      <c r="CE328" s="180"/>
      <c r="CF328" s="180"/>
      <c r="CG328" s="180"/>
      <c r="CH328" s="180"/>
      <c r="CI328" s="180"/>
      <c r="CJ328" s="180"/>
      <c r="CK328" s="180"/>
      <c r="CL328" s="180"/>
      <c r="CM328" s="180"/>
      <c r="CN328" s="180"/>
      <c r="CO328" s="180"/>
      <c r="CP328" s="180"/>
      <c r="CQ328" s="180"/>
      <c r="CR328" s="180"/>
      <c r="CS328" s="180"/>
      <c r="CT328" s="180"/>
      <c r="CU328" s="180"/>
      <c r="CV328" s="180"/>
      <c r="CW328" s="180"/>
      <c r="CX328" s="180"/>
      <c r="CY328" s="180"/>
      <c r="CZ328" s="180"/>
    </row>
    <row r="329" spans="1:104" x14ac:dyDescent="0.45">
      <c r="A329" s="180" t="s">
        <v>14</v>
      </c>
      <c r="B329" s="73">
        <v>14</v>
      </c>
      <c r="C329" s="73"/>
      <c r="D329" s="180" t="s">
        <v>317</v>
      </c>
      <c r="E329" s="39">
        <v>43603</v>
      </c>
      <c r="F329" s="179">
        <v>0.70694444444444438</v>
      </c>
      <c r="G329" s="180">
        <v>7</v>
      </c>
      <c r="H329" s="180" t="s">
        <v>407</v>
      </c>
      <c r="I329" s="180"/>
      <c r="J329" s="180"/>
      <c r="K329" s="180"/>
      <c r="L329" s="180"/>
      <c r="M329" s="180"/>
      <c r="N329" s="180"/>
      <c r="O329" s="180"/>
      <c r="P329" s="180"/>
      <c r="AS329" s="180"/>
      <c r="AT329" s="180"/>
      <c r="AU329" s="180"/>
      <c r="AV329" s="180"/>
      <c r="AW329" s="180"/>
      <c r="AX329" s="180"/>
      <c r="AY329" s="180"/>
      <c r="AZ329" s="180"/>
      <c r="BA329" s="180"/>
      <c r="BB329" s="180"/>
      <c r="BC329" s="180"/>
      <c r="BD329" s="180"/>
      <c r="BE329" s="180"/>
      <c r="BF329" s="180"/>
      <c r="BG329" s="180"/>
      <c r="BH329" s="180"/>
      <c r="BI329" s="180"/>
      <c r="BJ329" s="180"/>
      <c r="BK329" s="180"/>
      <c r="BL329" s="180"/>
      <c r="BM329" s="180"/>
      <c r="BN329" s="180"/>
      <c r="BO329" s="180"/>
      <c r="BP329" s="180"/>
      <c r="BQ329" s="180"/>
      <c r="BR329" s="180"/>
      <c r="BS329" s="180"/>
      <c r="BT329" s="180"/>
      <c r="BU329" s="180"/>
      <c r="BV329" s="180"/>
      <c r="BW329" s="180"/>
      <c r="BX329" s="180"/>
      <c r="BY329" s="180"/>
      <c r="BZ329" s="180"/>
      <c r="CA329" s="180"/>
      <c r="CB329" s="180"/>
      <c r="CC329" s="180"/>
      <c r="CD329" s="180"/>
      <c r="CE329" s="180"/>
      <c r="CF329" s="180"/>
      <c r="CG329" s="180"/>
      <c r="CH329" s="180"/>
      <c r="CI329" s="180"/>
      <c r="CJ329" s="180"/>
      <c r="CK329" s="180"/>
      <c r="CL329" s="180"/>
      <c r="CM329" s="180"/>
      <c r="CN329" s="180"/>
      <c r="CO329" s="180"/>
      <c r="CP329" s="180"/>
      <c r="CQ329" s="180"/>
      <c r="CR329" s="180"/>
      <c r="CS329" s="180"/>
      <c r="CT329" s="180"/>
      <c r="CU329" s="180"/>
      <c r="CV329" s="180"/>
      <c r="CW329" s="180"/>
      <c r="CX329" s="180"/>
      <c r="CY329" s="180"/>
      <c r="CZ329" s="180"/>
    </row>
    <row r="330" spans="1:104" x14ac:dyDescent="0.45">
      <c r="A330" s="180" t="s">
        <v>14</v>
      </c>
      <c r="B330" s="73">
        <v>14</v>
      </c>
      <c r="C330" s="73"/>
      <c r="D330" s="180" t="s">
        <v>317</v>
      </c>
      <c r="E330" s="39">
        <v>43603</v>
      </c>
      <c r="F330" s="179">
        <v>0.70694444444444438</v>
      </c>
      <c r="G330" s="180">
        <v>7</v>
      </c>
      <c r="H330" s="180" t="s">
        <v>407</v>
      </c>
      <c r="I330" s="180"/>
      <c r="J330" s="180"/>
      <c r="K330" s="180"/>
      <c r="L330" s="180"/>
      <c r="M330" s="180"/>
      <c r="N330" s="180"/>
      <c r="O330" s="180"/>
      <c r="P330" s="180"/>
      <c r="AS330" s="180"/>
      <c r="AT330" s="180"/>
      <c r="AU330" s="180"/>
      <c r="AV330" s="180"/>
      <c r="AW330" s="180"/>
      <c r="AX330" s="180"/>
      <c r="AY330" s="180"/>
      <c r="AZ330" s="180"/>
      <c r="BA330" s="180"/>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c r="CF330" s="180"/>
      <c r="CG330" s="180"/>
      <c r="CH330" s="180"/>
      <c r="CI330" s="180"/>
      <c r="CJ330" s="180"/>
      <c r="CK330" s="180"/>
      <c r="CL330" s="180"/>
      <c r="CM330" s="180"/>
      <c r="CN330" s="180"/>
      <c r="CO330" s="180"/>
      <c r="CP330" s="180"/>
      <c r="CQ330" s="180"/>
      <c r="CR330" s="180"/>
      <c r="CS330" s="180"/>
      <c r="CT330" s="180"/>
      <c r="CU330" s="180"/>
      <c r="CV330" s="180"/>
      <c r="CW330" s="180"/>
      <c r="CX330" s="180"/>
      <c r="CY330" s="180"/>
      <c r="CZ330" s="180"/>
    </row>
    <row r="331" spans="1:104" x14ac:dyDescent="0.45">
      <c r="A331" s="180" t="s">
        <v>14</v>
      </c>
      <c r="B331" s="73">
        <v>10</v>
      </c>
      <c r="C331" s="73">
        <v>10</v>
      </c>
      <c r="D331" s="180" t="s">
        <v>332</v>
      </c>
      <c r="E331" s="39">
        <v>43603</v>
      </c>
      <c r="F331" s="179">
        <v>0.70833333333333337</v>
      </c>
      <c r="G331" s="180">
        <v>4</v>
      </c>
      <c r="H331" s="180" t="s">
        <v>272</v>
      </c>
      <c r="I331" s="180"/>
      <c r="J331" s="180"/>
      <c r="K331" s="180"/>
      <c r="L331" s="180"/>
      <c r="M331" s="180"/>
      <c r="N331" s="180"/>
      <c r="O331" s="180"/>
      <c r="P331" s="180"/>
      <c r="AS331" s="180"/>
      <c r="AT331" s="180"/>
      <c r="AU331" s="180"/>
      <c r="AV331" s="180"/>
      <c r="AW331" s="180"/>
      <c r="AX331" s="180"/>
      <c r="AY331" s="180"/>
      <c r="AZ331" s="180"/>
      <c r="BA331" s="180"/>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c r="CF331" s="180"/>
      <c r="CG331" s="180"/>
      <c r="CH331" s="180"/>
      <c r="CI331" s="180"/>
      <c r="CJ331" s="180"/>
      <c r="CK331" s="180"/>
      <c r="CL331" s="180"/>
      <c r="CM331" s="180"/>
      <c r="CN331" s="180"/>
      <c r="CO331" s="180"/>
      <c r="CP331" s="180"/>
      <c r="CQ331" s="180"/>
      <c r="CR331" s="180"/>
      <c r="CS331" s="180"/>
      <c r="CT331" s="180"/>
      <c r="CU331" s="180"/>
      <c r="CV331" s="180"/>
      <c r="CW331" s="180"/>
      <c r="CX331" s="180"/>
      <c r="CY331" s="180"/>
      <c r="CZ331" s="180"/>
    </row>
    <row r="332" spans="1:104" x14ac:dyDescent="0.45">
      <c r="A332" s="180" t="s">
        <v>14</v>
      </c>
      <c r="B332" s="73">
        <v>10</v>
      </c>
      <c r="C332" s="73"/>
      <c r="D332" s="180" t="s">
        <v>332</v>
      </c>
      <c r="E332" s="39">
        <v>43603</v>
      </c>
      <c r="F332" s="179">
        <v>0.70833333333333337</v>
      </c>
      <c r="G332" s="180">
        <v>4</v>
      </c>
      <c r="H332" s="180" t="s">
        <v>272</v>
      </c>
      <c r="I332" s="180"/>
      <c r="J332" s="180"/>
      <c r="K332" s="180"/>
      <c r="L332" s="180"/>
      <c r="M332" s="180"/>
      <c r="N332" s="180"/>
      <c r="O332" s="180"/>
      <c r="P332" s="180"/>
      <c r="AS332" s="180"/>
      <c r="AT332" s="180"/>
      <c r="AU332" s="180"/>
      <c r="AV332" s="180"/>
      <c r="AW332" s="180"/>
      <c r="AX332" s="180"/>
      <c r="AY332" s="180"/>
      <c r="AZ332" s="180"/>
      <c r="BA332" s="180"/>
      <c r="BB332" s="180"/>
      <c r="BC332" s="180"/>
      <c r="BD332" s="180"/>
      <c r="BE332" s="180"/>
      <c r="BF332" s="180"/>
      <c r="BG332" s="180"/>
      <c r="BH332" s="180"/>
      <c r="BI332" s="180"/>
      <c r="BJ332" s="180"/>
      <c r="BK332" s="180"/>
      <c r="BL332" s="180"/>
      <c r="BM332" s="180"/>
      <c r="BN332" s="180"/>
      <c r="BO332" s="180"/>
      <c r="BP332" s="180"/>
      <c r="BQ332" s="180"/>
      <c r="BR332" s="180"/>
      <c r="BS332" s="180"/>
      <c r="BT332" s="180"/>
      <c r="BU332" s="180"/>
      <c r="BV332" s="180"/>
      <c r="BW332" s="180"/>
      <c r="BX332" s="180"/>
      <c r="BY332" s="180"/>
      <c r="BZ332" s="180"/>
      <c r="CA332" s="180"/>
      <c r="CB332" s="180"/>
      <c r="CC332" s="180"/>
      <c r="CD332" s="180"/>
      <c r="CE332" s="180"/>
      <c r="CF332" s="180"/>
      <c r="CG332" s="180"/>
      <c r="CH332" s="180"/>
      <c r="CI332" s="180"/>
      <c r="CJ332" s="180"/>
      <c r="CK332" s="180"/>
      <c r="CL332" s="180"/>
      <c r="CM332" s="180"/>
      <c r="CN332" s="180"/>
      <c r="CO332" s="180"/>
      <c r="CP332" s="180"/>
      <c r="CQ332" s="180"/>
      <c r="CR332" s="180"/>
      <c r="CS332" s="180"/>
      <c r="CT332" s="180"/>
      <c r="CU332" s="180"/>
      <c r="CV332" s="180"/>
      <c r="CW332" s="180"/>
      <c r="CX332" s="180"/>
      <c r="CY332" s="180"/>
      <c r="CZ332" s="180"/>
    </row>
    <row r="333" spans="1:104" x14ac:dyDescent="0.45">
      <c r="A333" s="180" t="s">
        <v>14</v>
      </c>
      <c r="B333" s="73">
        <v>18</v>
      </c>
      <c r="C333" s="73">
        <v>18</v>
      </c>
      <c r="D333" s="180" t="s">
        <v>311</v>
      </c>
      <c r="E333" s="39">
        <v>43603</v>
      </c>
      <c r="F333" s="179">
        <v>0.70833333333333337</v>
      </c>
      <c r="G333" s="180">
        <v>11</v>
      </c>
      <c r="H333" s="180" t="s">
        <v>408</v>
      </c>
      <c r="I333" s="180"/>
      <c r="J333" s="180"/>
      <c r="K333" s="180"/>
      <c r="L333" s="180"/>
      <c r="M333" s="180"/>
      <c r="N333" s="180"/>
      <c r="O333" s="180"/>
      <c r="P333" s="180"/>
      <c r="AS333" s="180"/>
      <c r="AT333" s="180"/>
      <c r="AU333" s="180"/>
      <c r="AV333" s="180"/>
      <c r="AW333" s="180"/>
      <c r="AX333" s="180"/>
      <c r="AY333" s="180"/>
      <c r="AZ333" s="180"/>
      <c r="BA333" s="180"/>
      <c r="BB333" s="180"/>
      <c r="BC333" s="180"/>
      <c r="BD333" s="180"/>
      <c r="BE333" s="180"/>
      <c r="BF333" s="180"/>
      <c r="BG333" s="180"/>
      <c r="BH333" s="180"/>
      <c r="BI333" s="180"/>
      <c r="BJ333" s="180"/>
      <c r="BK333" s="180"/>
      <c r="BL333" s="180"/>
      <c r="BM333" s="180"/>
      <c r="BN333" s="180"/>
      <c r="BO333" s="180"/>
      <c r="BP333" s="180"/>
      <c r="BQ333" s="180"/>
      <c r="BR333" s="180"/>
      <c r="BS333" s="180"/>
      <c r="BT333" s="180"/>
      <c r="BU333" s="180"/>
      <c r="BV333" s="180"/>
      <c r="BW333" s="180"/>
      <c r="BX333" s="180"/>
      <c r="BY333" s="180"/>
      <c r="BZ333" s="180"/>
      <c r="CA333" s="180"/>
      <c r="CB333" s="180"/>
      <c r="CC333" s="180"/>
      <c r="CD333" s="180"/>
      <c r="CE333" s="180"/>
      <c r="CF333" s="180"/>
      <c r="CG333" s="180"/>
      <c r="CH333" s="180"/>
      <c r="CI333" s="180"/>
      <c r="CJ333" s="180"/>
      <c r="CK333" s="180"/>
      <c r="CL333" s="180"/>
      <c r="CM333" s="180"/>
      <c r="CN333" s="180"/>
      <c r="CO333" s="180"/>
      <c r="CP333" s="180"/>
      <c r="CQ333" s="180"/>
      <c r="CR333" s="180"/>
      <c r="CS333" s="180"/>
      <c r="CT333" s="180"/>
      <c r="CU333" s="180"/>
      <c r="CV333" s="180"/>
      <c r="CW333" s="180"/>
      <c r="CX333" s="180"/>
      <c r="CY333" s="180"/>
      <c r="CZ333" s="180"/>
    </row>
    <row r="334" spans="1:104" x14ac:dyDescent="0.45">
      <c r="A334" s="180" t="s">
        <v>14</v>
      </c>
      <c r="B334" s="73">
        <v>1</v>
      </c>
      <c r="C334" s="73">
        <v>1</v>
      </c>
      <c r="D334" s="180" t="s">
        <v>409</v>
      </c>
      <c r="E334" s="39">
        <v>43604</v>
      </c>
      <c r="F334" s="179">
        <v>0.35625000000000001</v>
      </c>
      <c r="G334" s="180">
        <v>2</v>
      </c>
      <c r="H334" s="180"/>
      <c r="I334" s="180"/>
      <c r="J334" s="180"/>
      <c r="K334" s="180"/>
      <c r="L334" s="180"/>
      <c r="M334" s="180"/>
      <c r="N334" s="180"/>
      <c r="O334" s="180"/>
      <c r="P334" s="180"/>
      <c r="AS334" s="180"/>
      <c r="AT334" s="180"/>
      <c r="AU334" s="180"/>
      <c r="AV334" s="180"/>
      <c r="AW334" s="180"/>
      <c r="AX334" s="180"/>
      <c r="AY334" s="180"/>
      <c r="AZ334" s="180"/>
      <c r="BA334" s="180"/>
      <c r="BB334" s="180"/>
      <c r="BC334" s="180"/>
      <c r="BD334" s="180"/>
      <c r="BE334" s="180"/>
      <c r="BF334" s="180"/>
      <c r="BG334" s="180"/>
      <c r="BH334" s="180"/>
      <c r="BI334" s="180"/>
      <c r="BJ334" s="180"/>
      <c r="BK334" s="180"/>
      <c r="BL334" s="180"/>
      <c r="BM334" s="180"/>
      <c r="BN334" s="180"/>
      <c r="BO334" s="180"/>
      <c r="BP334" s="180"/>
      <c r="BQ334" s="180"/>
      <c r="BR334" s="180"/>
      <c r="BS334" s="180"/>
      <c r="BT334" s="180"/>
      <c r="BU334" s="180"/>
      <c r="BV334" s="180"/>
      <c r="BW334" s="180"/>
      <c r="BX334" s="180"/>
      <c r="BY334" s="180"/>
      <c r="BZ334" s="180"/>
      <c r="CA334" s="180"/>
      <c r="CB334" s="180"/>
      <c r="CC334" s="180"/>
      <c r="CD334" s="180"/>
      <c r="CE334" s="180"/>
      <c r="CF334" s="180"/>
      <c r="CG334" s="180"/>
      <c r="CH334" s="180"/>
      <c r="CI334" s="180"/>
      <c r="CJ334" s="180"/>
      <c r="CK334" s="180"/>
      <c r="CL334" s="180"/>
      <c r="CM334" s="180"/>
      <c r="CN334" s="180"/>
      <c r="CO334" s="180"/>
      <c r="CP334" s="180"/>
      <c r="CQ334" s="180"/>
      <c r="CR334" s="180"/>
      <c r="CS334" s="180"/>
      <c r="CT334" s="180"/>
      <c r="CU334" s="180"/>
      <c r="CV334" s="180"/>
      <c r="CW334" s="180"/>
      <c r="CX334" s="180"/>
      <c r="CY334" s="180"/>
      <c r="CZ334" s="180"/>
    </row>
    <row r="335" spans="1:104" x14ac:dyDescent="0.45">
      <c r="A335" s="180" t="s">
        <v>14</v>
      </c>
      <c r="B335" s="73">
        <v>1</v>
      </c>
      <c r="C335" s="73"/>
      <c r="D335" s="180" t="s">
        <v>409</v>
      </c>
      <c r="E335" s="39">
        <v>43604</v>
      </c>
      <c r="F335" s="179">
        <v>0.35625000000000001</v>
      </c>
      <c r="G335" s="180">
        <v>2</v>
      </c>
      <c r="H335" s="180"/>
      <c r="I335" s="180"/>
      <c r="J335" s="180"/>
      <c r="K335" s="180"/>
      <c r="L335" s="180"/>
      <c r="M335" s="180"/>
      <c r="N335" s="180"/>
      <c r="O335" s="180"/>
      <c r="P335" s="180"/>
      <c r="AS335" s="180"/>
      <c r="AT335" s="180"/>
      <c r="AU335" s="180"/>
      <c r="AV335" s="180"/>
      <c r="AW335" s="180"/>
      <c r="AX335" s="180"/>
      <c r="AY335" s="180"/>
      <c r="AZ335" s="180"/>
      <c r="BA335" s="180"/>
      <c r="BB335" s="180"/>
      <c r="BC335" s="180"/>
      <c r="BD335" s="180"/>
      <c r="BE335" s="180"/>
      <c r="BF335" s="180"/>
      <c r="BG335" s="180"/>
      <c r="BH335" s="180"/>
      <c r="BI335" s="180"/>
      <c r="BJ335" s="180"/>
      <c r="BK335" s="180"/>
      <c r="BL335" s="180"/>
      <c r="BM335" s="180"/>
      <c r="BN335" s="180"/>
      <c r="BO335" s="180"/>
      <c r="BP335" s="180"/>
      <c r="BQ335" s="180"/>
      <c r="BR335" s="180"/>
      <c r="BS335" s="180"/>
      <c r="BT335" s="180"/>
      <c r="BU335" s="180"/>
      <c r="BV335" s="180"/>
      <c r="BW335" s="180"/>
      <c r="BX335" s="180"/>
      <c r="BY335" s="180"/>
      <c r="BZ335" s="180"/>
      <c r="CA335" s="180"/>
      <c r="CB335" s="180"/>
      <c r="CC335" s="180"/>
      <c r="CD335" s="180"/>
      <c r="CE335" s="180"/>
      <c r="CF335" s="180"/>
      <c r="CG335" s="180"/>
      <c r="CH335" s="180"/>
      <c r="CI335" s="180"/>
      <c r="CJ335" s="180"/>
      <c r="CK335" s="180"/>
      <c r="CL335" s="180"/>
      <c r="CM335" s="180"/>
      <c r="CN335" s="180"/>
      <c r="CO335" s="180"/>
      <c r="CP335" s="180"/>
      <c r="CQ335" s="180"/>
      <c r="CR335" s="180"/>
      <c r="CS335" s="180"/>
      <c r="CT335" s="180"/>
      <c r="CU335" s="180"/>
      <c r="CV335" s="180"/>
      <c r="CW335" s="180"/>
      <c r="CX335" s="180"/>
      <c r="CY335" s="180"/>
      <c r="CZ335" s="180"/>
    </row>
    <row r="336" spans="1:104" x14ac:dyDescent="0.45">
      <c r="A336" s="180" t="s">
        <v>14</v>
      </c>
      <c r="B336" s="73">
        <v>3</v>
      </c>
      <c r="C336" s="73">
        <v>1</v>
      </c>
      <c r="D336" s="180" t="s">
        <v>317</v>
      </c>
      <c r="E336" s="39">
        <v>43606</v>
      </c>
      <c r="F336" s="179">
        <v>0.6069444444444444</v>
      </c>
      <c r="G336" s="180">
        <v>2</v>
      </c>
      <c r="H336" s="180"/>
      <c r="I336" s="180"/>
      <c r="J336" s="180"/>
      <c r="K336" s="180"/>
      <c r="L336" s="180"/>
      <c r="M336" s="180"/>
      <c r="N336" s="180"/>
      <c r="O336" s="180"/>
      <c r="P336" s="180"/>
      <c r="AS336" s="180"/>
      <c r="AT336" s="180"/>
      <c r="AU336" s="180"/>
      <c r="AV336" s="180"/>
      <c r="AW336" s="180"/>
      <c r="AX336" s="180"/>
      <c r="AY336" s="180"/>
      <c r="AZ336" s="180"/>
      <c r="BA336" s="180"/>
      <c r="BB336" s="180"/>
      <c r="BC336" s="180"/>
      <c r="BD336" s="180"/>
      <c r="BE336" s="180"/>
      <c r="BF336" s="180"/>
      <c r="BG336" s="180"/>
      <c r="BH336" s="180"/>
      <c r="BI336" s="180"/>
      <c r="BJ336" s="180"/>
      <c r="BK336" s="180"/>
      <c r="BL336" s="180"/>
      <c r="BM336" s="180"/>
      <c r="BN336" s="180"/>
      <c r="BO336" s="180"/>
      <c r="BP336" s="180"/>
      <c r="BQ336" s="180"/>
      <c r="BR336" s="180"/>
      <c r="BS336" s="180"/>
      <c r="BT336" s="180"/>
      <c r="BU336" s="180"/>
      <c r="BV336" s="180"/>
      <c r="BW336" s="180"/>
      <c r="BX336" s="180"/>
      <c r="BY336" s="180"/>
      <c r="BZ336" s="180"/>
      <c r="CA336" s="180"/>
      <c r="CB336" s="180"/>
      <c r="CC336" s="180"/>
      <c r="CD336" s="180"/>
      <c r="CE336" s="180"/>
      <c r="CF336" s="180"/>
      <c r="CG336" s="180"/>
      <c r="CH336" s="180"/>
      <c r="CI336" s="180"/>
      <c r="CJ336" s="180"/>
      <c r="CK336" s="180"/>
      <c r="CL336" s="180"/>
      <c r="CM336" s="180"/>
      <c r="CN336" s="180"/>
      <c r="CO336" s="180"/>
      <c r="CP336" s="180"/>
      <c r="CQ336" s="180"/>
      <c r="CR336" s="180"/>
      <c r="CS336" s="180"/>
      <c r="CT336" s="180"/>
      <c r="CU336" s="180"/>
      <c r="CV336" s="180"/>
      <c r="CW336" s="180"/>
      <c r="CX336" s="180"/>
      <c r="CY336" s="180"/>
      <c r="CZ336" s="180"/>
    </row>
    <row r="337" spans="1:104" x14ac:dyDescent="0.45">
      <c r="A337" s="1" t="s">
        <v>273</v>
      </c>
      <c r="B337" s="73"/>
      <c r="C337" s="73">
        <f>SUM(C194:C336)</f>
        <v>2053</v>
      </c>
      <c r="D337" s="180"/>
      <c r="E337" s="39"/>
      <c r="F337" s="179"/>
      <c r="G337" s="180"/>
      <c r="H337" s="180"/>
      <c r="I337" s="180"/>
      <c r="J337" s="180"/>
      <c r="K337" s="180"/>
      <c r="L337" s="180"/>
      <c r="M337" s="180"/>
      <c r="N337" s="180"/>
      <c r="O337" s="180"/>
      <c r="P337" s="180"/>
      <c r="AS337" s="180"/>
      <c r="AT337" s="180"/>
      <c r="AU337" s="180"/>
      <c r="AV337" s="180"/>
      <c r="AW337" s="180"/>
      <c r="AX337" s="180"/>
      <c r="AY337" s="180"/>
      <c r="AZ337" s="180"/>
      <c r="BA337" s="180"/>
      <c r="BB337" s="180"/>
      <c r="BC337" s="180"/>
      <c r="BD337" s="180"/>
      <c r="BE337" s="180"/>
      <c r="BF337" s="180"/>
      <c r="BG337" s="180"/>
      <c r="BH337" s="180"/>
      <c r="BI337" s="180"/>
      <c r="BJ337" s="180"/>
      <c r="BK337" s="180"/>
      <c r="BL337" s="180"/>
      <c r="BM337" s="180"/>
      <c r="BN337" s="180"/>
      <c r="BO337" s="180"/>
      <c r="BP337" s="180"/>
      <c r="BQ337" s="180"/>
      <c r="BR337" s="180"/>
      <c r="BS337" s="180"/>
      <c r="BT337" s="180"/>
      <c r="BU337" s="180"/>
      <c r="BV337" s="180"/>
      <c r="BW337" s="180"/>
      <c r="BX337" s="180"/>
      <c r="BY337" s="180"/>
      <c r="BZ337" s="180"/>
      <c r="CA337" s="180"/>
      <c r="CB337" s="180"/>
      <c r="CC337" s="180"/>
      <c r="CD337" s="180"/>
      <c r="CE337" s="180"/>
      <c r="CF337" s="180"/>
      <c r="CG337" s="180"/>
      <c r="CH337" s="180"/>
      <c r="CI337" s="180"/>
      <c r="CJ337" s="180"/>
      <c r="CK337" s="180"/>
      <c r="CL337" s="180"/>
      <c r="CM337" s="180"/>
      <c r="CN337" s="180"/>
      <c r="CO337" s="180"/>
      <c r="CP337" s="180"/>
      <c r="CQ337" s="180"/>
      <c r="CR337" s="180"/>
      <c r="CS337" s="180"/>
      <c r="CT337" s="180"/>
      <c r="CU337" s="180"/>
      <c r="CV337" s="180"/>
      <c r="CW337" s="180"/>
      <c r="CX337" s="180"/>
      <c r="CY337" s="180"/>
      <c r="CZ337" s="180"/>
    </row>
    <row r="338" spans="1:104" x14ac:dyDescent="0.45">
      <c r="A338" s="1"/>
      <c r="B338" s="73"/>
      <c r="C338" s="73"/>
      <c r="D338" s="180"/>
      <c r="E338" s="39"/>
      <c r="F338" s="179"/>
      <c r="G338" s="180"/>
      <c r="H338" s="180"/>
      <c r="I338" s="180"/>
      <c r="J338" s="180"/>
      <c r="K338" s="180"/>
      <c r="L338" s="180"/>
      <c r="M338" s="180"/>
      <c r="N338" s="180"/>
      <c r="O338" s="180"/>
      <c r="P338" s="180"/>
      <c r="AS338" s="180"/>
      <c r="AT338" s="180"/>
      <c r="AU338" s="180"/>
      <c r="AV338" s="180"/>
      <c r="AW338" s="180"/>
      <c r="AX338" s="180"/>
      <c r="AY338" s="180"/>
      <c r="AZ338" s="180"/>
      <c r="BA338" s="180"/>
      <c r="BB338" s="180"/>
      <c r="BC338" s="180"/>
      <c r="BD338" s="180"/>
      <c r="BE338" s="180"/>
      <c r="BF338" s="180"/>
      <c r="BG338" s="180"/>
      <c r="BH338" s="180"/>
      <c r="BI338" s="180"/>
      <c r="BJ338" s="180"/>
      <c r="BK338" s="180"/>
      <c r="BL338" s="180"/>
      <c r="BM338" s="180"/>
      <c r="BN338" s="180"/>
      <c r="BO338" s="180"/>
      <c r="BP338" s="180"/>
      <c r="BQ338" s="180"/>
      <c r="BR338" s="180"/>
      <c r="BS338" s="180"/>
      <c r="BT338" s="180"/>
      <c r="BU338" s="180"/>
      <c r="BV338" s="180"/>
      <c r="BW338" s="180"/>
      <c r="BX338" s="180"/>
      <c r="BY338" s="180"/>
      <c r="BZ338" s="180"/>
      <c r="CA338" s="180"/>
      <c r="CB338" s="180"/>
      <c r="CC338" s="180"/>
      <c r="CD338" s="180"/>
      <c r="CE338" s="180"/>
      <c r="CF338" s="180"/>
      <c r="CG338" s="180"/>
      <c r="CH338" s="180"/>
      <c r="CI338" s="180"/>
      <c r="CJ338" s="180"/>
      <c r="CK338" s="180"/>
      <c r="CL338" s="180"/>
      <c r="CM338" s="180"/>
      <c r="CN338" s="180"/>
      <c r="CO338" s="180"/>
      <c r="CP338" s="180"/>
      <c r="CQ338" s="180"/>
      <c r="CR338" s="180"/>
      <c r="CS338" s="180"/>
      <c r="CT338" s="180"/>
      <c r="CU338" s="180"/>
      <c r="CV338" s="180"/>
      <c r="CW338" s="180"/>
      <c r="CX338" s="180"/>
      <c r="CY338" s="180"/>
      <c r="CZ338" s="180"/>
    </row>
    <row r="339" spans="1:104" x14ac:dyDescent="0.45">
      <c r="A339" s="180" t="s">
        <v>410</v>
      </c>
      <c r="B339" s="73">
        <v>3</v>
      </c>
      <c r="C339" s="73">
        <v>3</v>
      </c>
      <c r="D339" s="180" t="s">
        <v>271</v>
      </c>
      <c r="E339" s="39">
        <v>43589</v>
      </c>
      <c r="F339" s="179">
        <v>0.45833333333333331</v>
      </c>
      <c r="G339" s="180">
        <v>1</v>
      </c>
      <c r="H339" s="180"/>
      <c r="I339" s="180"/>
      <c r="J339" s="180"/>
      <c r="K339" s="180"/>
      <c r="L339" s="180"/>
      <c r="M339" s="180"/>
      <c r="N339" s="180"/>
      <c r="O339" s="180"/>
      <c r="P339" s="180"/>
      <c r="AS339" s="180"/>
      <c r="AT339" s="180"/>
      <c r="AU339" s="180"/>
      <c r="AV339" s="180"/>
      <c r="AW339" s="180"/>
      <c r="AX339" s="180"/>
      <c r="AY339" s="180"/>
      <c r="AZ339" s="180"/>
      <c r="BA339" s="180"/>
      <c r="BB339" s="180"/>
      <c r="BC339" s="180"/>
      <c r="BD339" s="180"/>
      <c r="BE339" s="180"/>
      <c r="BF339" s="180"/>
      <c r="BG339" s="180"/>
      <c r="BH339" s="180"/>
      <c r="BI339" s="180"/>
      <c r="BJ339" s="180"/>
      <c r="BK339" s="180"/>
      <c r="BL339" s="180"/>
      <c r="BM339" s="180"/>
      <c r="BN339" s="180"/>
      <c r="BO339" s="180"/>
      <c r="BP339" s="180"/>
      <c r="BQ339" s="180"/>
      <c r="BR339" s="180"/>
      <c r="BS339" s="180"/>
      <c r="BT339" s="180"/>
      <c r="BU339" s="180"/>
      <c r="BV339" s="180"/>
      <c r="BW339" s="180"/>
      <c r="BX339" s="180"/>
      <c r="BY339" s="180"/>
      <c r="BZ339" s="180"/>
      <c r="CA339" s="180"/>
      <c r="CB339" s="180"/>
      <c r="CC339" s="180"/>
      <c r="CD339" s="180"/>
      <c r="CE339" s="180"/>
      <c r="CF339" s="180"/>
      <c r="CG339" s="180"/>
      <c r="CH339" s="180"/>
      <c r="CI339" s="180"/>
      <c r="CJ339" s="180"/>
      <c r="CK339" s="180"/>
      <c r="CL339" s="180"/>
      <c r="CM339" s="180"/>
      <c r="CN339" s="180"/>
      <c r="CO339" s="180"/>
      <c r="CP339" s="180"/>
      <c r="CQ339" s="180"/>
      <c r="CR339" s="180"/>
      <c r="CS339" s="180"/>
      <c r="CT339" s="180"/>
      <c r="CU339" s="180"/>
      <c r="CV339" s="180"/>
      <c r="CW339" s="180"/>
      <c r="CX339" s="180"/>
      <c r="CY339" s="180"/>
      <c r="CZ339" s="180"/>
    </row>
    <row r="340" spans="1:104" x14ac:dyDescent="0.45">
      <c r="A340" s="180" t="s">
        <v>410</v>
      </c>
      <c r="B340" s="73">
        <v>1</v>
      </c>
      <c r="C340" s="73">
        <v>1</v>
      </c>
      <c r="D340" s="180" t="s">
        <v>376</v>
      </c>
      <c r="E340" s="39">
        <v>43595</v>
      </c>
      <c r="F340" s="179">
        <v>0.74305555555555547</v>
      </c>
      <c r="G340" s="180">
        <v>1</v>
      </c>
      <c r="H340" s="180"/>
      <c r="I340" s="180"/>
      <c r="J340" s="180"/>
      <c r="K340" s="180"/>
      <c r="L340" s="180"/>
      <c r="M340" s="180"/>
      <c r="N340" s="180"/>
      <c r="O340" s="180"/>
      <c r="P340" s="180"/>
      <c r="AS340" s="180"/>
      <c r="AT340" s="180"/>
      <c r="AU340" s="180"/>
      <c r="AV340" s="180"/>
      <c r="AW340" s="180"/>
      <c r="AX340" s="180"/>
      <c r="AY340" s="180"/>
      <c r="AZ340" s="180"/>
      <c r="BA340" s="180"/>
      <c r="BB340" s="180"/>
      <c r="BC340" s="180"/>
      <c r="BD340" s="180"/>
      <c r="BE340" s="180"/>
      <c r="BF340" s="180"/>
      <c r="BG340" s="180"/>
      <c r="BH340" s="180"/>
      <c r="BI340" s="180"/>
      <c r="BJ340" s="180"/>
      <c r="BK340" s="180"/>
      <c r="BL340" s="180"/>
      <c r="BM340" s="180"/>
      <c r="BN340" s="180"/>
      <c r="BO340" s="180"/>
      <c r="BP340" s="180"/>
      <c r="BQ340" s="180"/>
      <c r="BR340" s="180"/>
      <c r="BS340" s="180"/>
      <c r="BT340" s="180"/>
      <c r="BU340" s="180"/>
      <c r="BV340" s="180"/>
      <c r="BW340" s="180"/>
      <c r="BX340" s="180"/>
      <c r="BY340" s="180"/>
      <c r="BZ340" s="180"/>
      <c r="CA340" s="180"/>
      <c r="CB340" s="180"/>
      <c r="CC340" s="180"/>
      <c r="CD340" s="180"/>
      <c r="CE340" s="180"/>
      <c r="CF340" s="180"/>
      <c r="CG340" s="180"/>
      <c r="CH340" s="180"/>
      <c r="CI340" s="180"/>
      <c r="CJ340" s="180"/>
      <c r="CK340" s="180"/>
      <c r="CL340" s="180"/>
      <c r="CM340" s="180"/>
      <c r="CN340" s="180"/>
      <c r="CO340" s="180"/>
      <c r="CP340" s="180"/>
      <c r="CQ340" s="180"/>
      <c r="CR340" s="180"/>
      <c r="CS340" s="180"/>
      <c r="CT340" s="180"/>
      <c r="CU340" s="180"/>
      <c r="CV340" s="180"/>
      <c r="CW340" s="180"/>
      <c r="CX340" s="180"/>
      <c r="CY340" s="180"/>
      <c r="CZ340" s="180"/>
    </row>
    <row r="341" spans="1:104" x14ac:dyDescent="0.45">
      <c r="A341" s="180" t="s">
        <v>410</v>
      </c>
      <c r="B341" s="73">
        <v>1</v>
      </c>
      <c r="C341" s="73"/>
      <c r="D341" s="180" t="s">
        <v>271</v>
      </c>
      <c r="E341" s="39">
        <v>43595</v>
      </c>
      <c r="F341" s="179">
        <v>0.74305555555555547</v>
      </c>
      <c r="G341" s="180">
        <v>1</v>
      </c>
      <c r="H341" s="180" t="s">
        <v>411</v>
      </c>
      <c r="I341" s="180"/>
      <c r="J341" s="180"/>
      <c r="K341" s="180"/>
      <c r="L341" s="180"/>
      <c r="M341" s="180"/>
      <c r="N341" s="180"/>
      <c r="O341" s="180"/>
      <c r="P341" s="180"/>
      <c r="AS341" s="180"/>
      <c r="AT341" s="180"/>
      <c r="AU341" s="180"/>
      <c r="AV341" s="180"/>
      <c r="AW341" s="180"/>
      <c r="AX341" s="180"/>
      <c r="AY341" s="180"/>
      <c r="AZ341" s="180"/>
      <c r="BA341" s="180"/>
      <c r="BB341" s="180"/>
      <c r="BC341" s="180"/>
      <c r="BD341" s="180"/>
      <c r="BE341" s="180"/>
      <c r="BF341" s="180"/>
      <c r="BG341" s="180"/>
      <c r="BH341" s="180"/>
      <c r="BI341" s="180"/>
      <c r="BJ341" s="180"/>
      <c r="BK341" s="180"/>
      <c r="BL341" s="180"/>
      <c r="BM341" s="180"/>
      <c r="BN341" s="180"/>
      <c r="BO341" s="180"/>
      <c r="BP341" s="180"/>
      <c r="BQ341" s="180"/>
      <c r="BR341" s="180"/>
      <c r="BS341" s="180"/>
      <c r="BT341" s="180"/>
      <c r="BU341" s="180"/>
      <c r="BV341" s="180"/>
      <c r="BW341" s="180"/>
      <c r="BX341" s="180"/>
      <c r="BY341" s="180"/>
      <c r="BZ341" s="180"/>
      <c r="CA341" s="180"/>
      <c r="CB341" s="180"/>
      <c r="CC341" s="180"/>
      <c r="CD341" s="180"/>
      <c r="CE341" s="180"/>
      <c r="CF341" s="180"/>
      <c r="CG341" s="180"/>
      <c r="CH341" s="180"/>
      <c r="CI341" s="180"/>
      <c r="CJ341" s="180"/>
      <c r="CK341" s="180"/>
      <c r="CL341" s="180"/>
      <c r="CM341" s="180"/>
      <c r="CN341" s="180"/>
      <c r="CO341" s="180"/>
      <c r="CP341" s="180"/>
      <c r="CQ341" s="180"/>
      <c r="CR341" s="180"/>
      <c r="CS341" s="180"/>
      <c r="CT341" s="180"/>
      <c r="CU341" s="180"/>
      <c r="CV341" s="180"/>
      <c r="CW341" s="180"/>
      <c r="CX341" s="180"/>
      <c r="CY341" s="180"/>
      <c r="CZ341" s="180"/>
    </row>
    <row r="342" spans="1:104" x14ac:dyDescent="0.45">
      <c r="A342" s="180" t="s">
        <v>410</v>
      </c>
      <c r="B342" s="73">
        <v>2</v>
      </c>
      <c r="C342" s="73">
        <v>2</v>
      </c>
      <c r="D342" s="180" t="s">
        <v>271</v>
      </c>
      <c r="E342" s="39">
        <v>43601</v>
      </c>
      <c r="F342" s="179">
        <v>0.4993055555555555</v>
      </c>
      <c r="G342" s="180">
        <v>1</v>
      </c>
      <c r="H342" s="180"/>
      <c r="I342" s="180"/>
      <c r="J342" s="180"/>
      <c r="K342" s="180"/>
      <c r="L342" s="180"/>
      <c r="M342" s="180"/>
      <c r="N342" s="180"/>
      <c r="O342" s="180"/>
      <c r="P342" s="180"/>
      <c r="AS342" s="180"/>
      <c r="AT342" s="180"/>
      <c r="AU342" s="180"/>
      <c r="AV342" s="180"/>
      <c r="AW342" s="180"/>
      <c r="AX342" s="180"/>
      <c r="AY342" s="180"/>
      <c r="AZ342" s="180"/>
      <c r="BA342" s="180"/>
      <c r="BB342" s="180"/>
      <c r="BC342" s="180"/>
      <c r="BD342" s="180"/>
      <c r="BE342" s="180"/>
      <c r="BF342" s="180"/>
      <c r="BG342" s="180"/>
      <c r="BH342" s="180"/>
      <c r="BI342" s="180"/>
      <c r="BJ342" s="180"/>
      <c r="BK342" s="180"/>
      <c r="BL342" s="180"/>
      <c r="BM342" s="180"/>
      <c r="BN342" s="180"/>
      <c r="BO342" s="180"/>
      <c r="BP342" s="180"/>
      <c r="BQ342" s="180"/>
      <c r="BR342" s="180"/>
      <c r="BS342" s="180"/>
      <c r="BT342" s="180"/>
      <c r="BU342" s="180"/>
      <c r="BV342" s="180"/>
      <c r="BW342" s="180"/>
      <c r="BX342" s="180"/>
      <c r="BY342" s="180"/>
      <c r="BZ342" s="180"/>
      <c r="CA342" s="180"/>
      <c r="CB342" s="180"/>
      <c r="CC342" s="180"/>
      <c r="CD342" s="180"/>
      <c r="CE342" s="180"/>
      <c r="CF342" s="180"/>
      <c r="CG342" s="180"/>
      <c r="CH342" s="180"/>
      <c r="CI342" s="180"/>
      <c r="CJ342" s="180"/>
      <c r="CK342" s="180"/>
      <c r="CL342" s="180"/>
      <c r="CM342" s="180"/>
      <c r="CN342" s="180"/>
      <c r="CO342" s="180"/>
      <c r="CP342" s="180"/>
      <c r="CQ342" s="180"/>
      <c r="CR342" s="180"/>
      <c r="CS342" s="180"/>
      <c r="CT342" s="180"/>
      <c r="CU342" s="180"/>
      <c r="CV342" s="180"/>
      <c r="CW342" s="180"/>
      <c r="CX342" s="180"/>
      <c r="CY342" s="180"/>
      <c r="CZ342" s="180"/>
    </row>
    <row r="343" spans="1:104" x14ac:dyDescent="0.45">
      <c r="A343" s="1" t="s">
        <v>273</v>
      </c>
      <c r="B343" s="73"/>
      <c r="C343" s="73">
        <f>SUM(C339:C342)</f>
        <v>6</v>
      </c>
      <c r="D343" s="180"/>
      <c r="E343" s="39"/>
      <c r="F343" s="179"/>
      <c r="G343" s="180"/>
      <c r="H343" s="180"/>
      <c r="I343" s="180"/>
      <c r="J343" s="180"/>
      <c r="K343" s="180"/>
      <c r="L343" s="180"/>
      <c r="M343" s="180"/>
      <c r="N343" s="180"/>
      <c r="O343" s="180"/>
      <c r="P343" s="180"/>
      <c r="AS343" s="180"/>
      <c r="AT343" s="180"/>
      <c r="AU343" s="180"/>
      <c r="AV343" s="180"/>
      <c r="AW343" s="180"/>
      <c r="AX343" s="180"/>
      <c r="AY343" s="180"/>
      <c r="AZ343" s="180"/>
      <c r="BA343" s="180"/>
      <c r="BB343" s="180"/>
      <c r="BC343" s="180"/>
      <c r="BD343" s="180"/>
      <c r="BE343" s="180"/>
      <c r="BF343" s="180"/>
      <c r="BG343" s="180"/>
      <c r="BH343" s="180"/>
      <c r="BI343" s="180"/>
      <c r="BJ343" s="180"/>
      <c r="BK343" s="180"/>
      <c r="BL343" s="180"/>
      <c r="BM343" s="180"/>
      <c r="BN343" s="180"/>
      <c r="BO343" s="180"/>
      <c r="BP343" s="180"/>
      <c r="BQ343" s="180"/>
      <c r="BR343" s="180"/>
      <c r="BS343" s="180"/>
      <c r="BT343" s="180"/>
      <c r="BU343" s="180"/>
      <c r="BV343" s="180"/>
      <c r="BW343" s="180"/>
      <c r="BX343" s="180"/>
      <c r="BY343" s="180"/>
      <c r="BZ343" s="180"/>
      <c r="CA343" s="180"/>
      <c r="CB343" s="180"/>
      <c r="CC343" s="180"/>
      <c r="CD343" s="180"/>
      <c r="CE343" s="180"/>
      <c r="CF343" s="180"/>
      <c r="CG343" s="180"/>
      <c r="CH343" s="180"/>
      <c r="CI343" s="180"/>
      <c r="CJ343" s="180"/>
      <c r="CK343" s="180"/>
      <c r="CL343" s="180"/>
      <c r="CM343" s="180"/>
      <c r="CN343" s="180"/>
      <c r="CO343" s="180"/>
      <c r="CP343" s="180"/>
      <c r="CQ343" s="180"/>
      <c r="CR343" s="180"/>
      <c r="CS343" s="180"/>
      <c r="CT343" s="180"/>
      <c r="CU343" s="180"/>
      <c r="CV343" s="180"/>
      <c r="CW343" s="180"/>
      <c r="CX343" s="180"/>
      <c r="CY343" s="180"/>
      <c r="CZ343" s="180"/>
    </row>
    <row r="344" spans="1:104" x14ac:dyDescent="0.45">
      <c r="A344" s="1"/>
      <c r="B344" s="73"/>
      <c r="C344" s="73"/>
      <c r="D344" s="180"/>
      <c r="E344" s="39"/>
      <c r="F344" s="179"/>
      <c r="G344" s="180"/>
      <c r="H344" s="180"/>
      <c r="I344" s="180"/>
      <c r="J344" s="180"/>
      <c r="K344" s="180"/>
      <c r="L344" s="180"/>
      <c r="M344" s="180"/>
      <c r="N344" s="180"/>
      <c r="O344" s="180"/>
      <c r="P344" s="180"/>
      <c r="AS344" s="180"/>
      <c r="AT344" s="180"/>
      <c r="AU344" s="180"/>
      <c r="AV344" s="180"/>
      <c r="AW344" s="180"/>
      <c r="AX344" s="180"/>
      <c r="AY344" s="180"/>
      <c r="AZ344" s="180"/>
      <c r="BA344" s="180"/>
      <c r="BB344" s="180"/>
      <c r="BC344" s="180"/>
      <c r="BD344" s="180"/>
      <c r="BE344" s="180"/>
      <c r="BF344" s="180"/>
      <c r="BG344" s="180"/>
      <c r="BH344" s="180"/>
      <c r="BI344" s="180"/>
      <c r="BJ344" s="180"/>
      <c r="BK344" s="180"/>
      <c r="BL344" s="180"/>
      <c r="BM344" s="180"/>
      <c r="BN344" s="180"/>
      <c r="BO344" s="180"/>
      <c r="BP344" s="180"/>
      <c r="BQ344" s="180"/>
      <c r="BR344" s="180"/>
      <c r="BS344" s="180"/>
      <c r="BT344" s="180"/>
      <c r="BU344" s="180"/>
      <c r="BV344" s="180"/>
      <c r="BW344" s="180"/>
      <c r="BX344" s="180"/>
      <c r="BY344" s="180"/>
      <c r="BZ344" s="180"/>
      <c r="CA344" s="180"/>
      <c r="CB344" s="180"/>
      <c r="CC344" s="180"/>
      <c r="CD344" s="180"/>
      <c r="CE344" s="180"/>
      <c r="CF344" s="180"/>
      <c r="CG344" s="180"/>
      <c r="CH344" s="180"/>
      <c r="CI344" s="180"/>
      <c r="CJ344" s="180"/>
      <c r="CK344" s="180"/>
      <c r="CL344" s="180"/>
      <c r="CM344" s="180"/>
      <c r="CN344" s="180"/>
      <c r="CO344" s="180"/>
      <c r="CP344" s="180"/>
      <c r="CQ344" s="180"/>
      <c r="CR344" s="180"/>
      <c r="CS344" s="180"/>
      <c r="CT344" s="180"/>
      <c r="CU344" s="180"/>
      <c r="CV344" s="180"/>
      <c r="CW344" s="180"/>
      <c r="CX344" s="180"/>
      <c r="CY344" s="180"/>
      <c r="CZ344" s="180"/>
    </row>
    <row r="345" spans="1:104" x14ac:dyDescent="0.45">
      <c r="A345" s="180" t="s">
        <v>3</v>
      </c>
      <c r="B345" s="73">
        <v>1</v>
      </c>
      <c r="C345" s="73">
        <v>1</v>
      </c>
      <c r="D345" s="180" t="s">
        <v>296</v>
      </c>
      <c r="E345" s="39">
        <v>43570</v>
      </c>
      <c r="F345" s="179">
        <v>0.58124999999999993</v>
      </c>
      <c r="G345" s="180">
        <v>1</v>
      </c>
      <c r="H345" s="180"/>
      <c r="I345" s="180"/>
      <c r="J345" s="180"/>
      <c r="K345" s="180"/>
      <c r="L345" s="180"/>
      <c r="M345" s="180"/>
      <c r="N345" s="180"/>
      <c r="O345" s="180"/>
      <c r="P345" s="180"/>
      <c r="AS345" s="180"/>
      <c r="AT345" s="180"/>
      <c r="AU345" s="180"/>
      <c r="AV345" s="180"/>
      <c r="AW345" s="180"/>
      <c r="AX345" s="180"/>
      <c r="AY345" s="180"/>
      <c r="AZ345" s="180"/>
      <c r="BA345" s="180"/>
      <c r="BB345" s="180"/>
      <c r="BC345" s="180"/>
      <c r="BD345" s="180"/>
      <c r="BE345" s="180"/>
      <c r="BF345" s="180"/>
      <c r="BG345" s="180"/>
      <c r="BH345" s="180"/>
      <c r="BI345" s="180"/>
      <c r="BJ345" s="180"/>
      <c r="BK345" s="180"/>
      <c r="BL345" s="180"/>
      <c r="BM345" s="180"/>
      <c r="BN345" s="180"/>
      <c r="BO345" s="180"/>
      <c r="BP345" s="180"/>
      <c r="BQ345" s="180"/>
      <c r="BR345" s="180"/>
      <c r="BS345" s="180"/>
      <c r="BT345" s="180"/>
      <c r="BU345" s="180"/>
      <c r="BV345" s="180"/>
      <c r="BW345" s="180"/>
      <c r="BX345" s="180"/>
      <c r="BY345" s="180"/>
      <c r="BZ345" s="180"/>
      <c r="CA345" s="180"/>
      <c r="CB345" s="180"/>
      <c r="CC345" s="180"/>
      <c r="CD345" s="180"/>
      <c r="CE345" s="180"/>
      <c r="CF345" s="180"/>
      <c r="CG345" s="180"/>
      <c r="CH345" s="180"/>
      <c r="CI345" s="180"/>
      <c r="CJ345" s="180"/>
      <c r="CK345" s="180"/>
      <c r="CL345" s="180"/>
      <c r="CM345" s="180"/>
      <c r="CN345" s="180"/>
      <c r="CO345" s="180"/>
      <c r="CP345" s="180"/>
      <c r="CQ345" s="180"/>
      <c r="CR345" s="180"/>
      <c r="CS345" s="180"/>
      <c r="CT345" s="180"/>
      <c r="CU345" s="180"/>
      <c r="CV345" s="180"/>
      <c r="CW345" s="180"/>
      <c r="CX345" s="180"/>
      <c r="CY345" s="180"/>
      <c r="CZ345" s="180"/>
    </row>
    <row r="346" spans="1:104" x14ac:dyDescent="0.45">
      <c r="A346" s="180" t="s">
        <v>3</v>
      </c>
      <c r="B346" s="73">
        <v>6</v>
      </c>
      <c r="C346" s="73">
        <v>6</v>
      </c>
      <c r="D346" s="180" t="s">
        <v>296</v>
      </c>
      <c r="E346" s="39">
        <v>43572</v>
      </c>
      <c r="F346" s="179">
        <v>0.44375000000000003</v>
      </c>
      <c r="G346" s="180">
        <v>1</v>
      </c>
      <c r="H346" s="180"/>
      <c r="I346" s="180"/>
      <c r="J346" s="180"/>
      <c r="K346" s="180"/>
      <c r="L346" s="180"/>
      <c r="M346" s="180"/>
      <c r="N346" s="180"/>
      <c r="O346" s="180"/>
      <c r="P346" s="180"/>
      <c r="AS346" s="180"/>
      <c r="AT346" s="180"/>
      <c r="AU346" s="180"/>
      <c r="AV346" s="180"/>
      <c r="AW346" s="180"/>
      <c r="AX346" s="180"/>
      <c r="AY346" s="180"/>
      <c r="AZ346" s="180"/>
      <c r="BA346" s="180"/>
      <c r="BB346" s="180"/>
      <c r="BC346" s="180"/>
      <c r="BD346" s="180"/>
      <c r="BE346" s="180"/>
      <c r="BF346" s="180"/>
      <c r="BG346" s="180"/>
      <c r="BH346" s="180"/>
      <c r="BI346" s="180"/>
      <c r="BJ346" s="180"/>
      <c r="BK346" s="180"/>
      <c r="BL346" s="180"/>
      <c r="BM346" s="180"/>
      <c r="BN346" s="180"/>
      <c r="BO346" s="180"/>
      <c r="BP346" s="180"/>
      <c r="BQ346" s="180"/>
      <c r="BR346" s="180"/>
      <c r="BS346" s="180"/>
      <c r="BT346" s="180"/>
      <c r="BU346" s="180"/>
      <c r="BV346" s="180"/>
      <c r="BW346" s="180"/>
      <c r="BX346" s="180"/>
      <c r="BY346" s="180"/>
      <c r="BZ346" s="180"/>
      <c r="CA346" s="180"/>
      <c r="CB346" s="180"/>
      <c r="CC346" s="180"/>
      <c r="CD346" s="180"/>
      <c r="CE346" s="180"/>
      <c r="CF346" s="180"/>
      <c r="CG346" s="180"/>
      <c r="CH346" s="180"/>
      <c r="CI346" s="180"/>
      <c r="CJ346" s="180"/>
      <c r="CK346" s="180"/>
      <c r="CL346" s="180"/>
      <c r="CM346" s="180"/>
      <c r="CN346" s="180"/>
      <c r="CO346" s="180"/>
      <c r="CP346" s="180"/>
      <c r="CQ346" s="180"/>
      <c r="CR346" s="180"/>
      <c r="CS346" s="180"/>
      <c r="CT346" s="180"/>
      <c r="CU346" s="180"/>
      <c r="CV346" s="180"/>
      <c r="CW346" s="180"/>
      <c r="CX346" s="180"/>
      <c r="CY346" s="180"/>
      <c r="CZ346" s="180"/>
    </row>
    <row r="347" spans="1:104" x14ac:dyDescent="0.45">
      <c r="A347" s="180" t="s">
        <v>3</v>
      </c>
      <c r="B347" s="73">
        <v>1</v>
      </c>
      <c r="C347" s="73"/>
      <c r="D347" s="180" t="s">
        <v>412</v>
      </c>
      <c r="E347" s="39">
        <v>43573</v>
      </c>
      <c r="F347" s="179">
        <v>0.58680555555555558</v>
      </c>
      <c r="G347" s="180">
        <v>1</v>
      </c>
      <c r="H347" s="180"/>
      <c r="I347" s="180" t="s">
        <v>413</v>
      </c>
      <c r="J347" s="180"/>
      <c r="K347" s="180"/>
      <c r="L347" s="180"/>
      <c r="M347" s="180"/>
      <c r="N347" s="180"/>
      <c r="O347" s="180"/>
      <c r="P347" s="180"/>
      <c r="AS347" s="180"/>
      <c r="AT347" s="180"/>
      <c r="AU347" s="180"/>
      <c r="AV347" s="180"/>
      <c r="AW347" s="180"/>
      <c r="AX347" s="180"/>
      <c r="AY347" s="180"/>
      <c r="AZ347" s="180"/>
      <c r="BA347" s="180"/>
      <c r="BB347" s="180"/>
      <c r="BC347" s="180"/>
      <c r="BD347" s="180"/>
      <c r="BE347" s="180"/>
      <c r="BF347" s="180"/>
      <c r="BG347" s="180"/>
      <c r="BH347" s="180"/>
      <c r="BI347" s="180"/>
      <c r="BJ347" s="180"/>
      <c r="BK347" s="180"/>
      <c r="BL347" s="180"/>
      <c r="BM347" s="180"/>
      <c r="BN347" s="180"/>
      <c r="BO347" s="180"/>
      <c r="BP347" s="180"/>
      <c r="BQ347" s="180"/>
      <c r="BR347" s="180"/>
      <c r="BS347" s="180"/>
      <c r="BT347" s="180"/>
      <c r="BU347" s="180"/>
      <c r="BV347" s="180"/>
      <c r="BW347" s="180"/>
      <c r="BX347" s="180"/>
      <c r="BY347" s="180"/>
      <c r="BZ347" s="180"/>
      <c r="CA347" s="180"/>
      <c r="CB347" s="180"/>
      <c r="CC347" s="180"/>
      <c r="CD347" s="180"/>
      <c r="CE347" s="180"/>
      <c r="CF347" s="180"/>
      <c r="CG347" s="180"/>
      <c r="CH347" s="180"/>
      <c r="CI347" s="180"/>
      <c r="CJ347" s="180"/>
      <c r="CK347" s="180"/>
      <c r="CL347" s="180"/>
      <c r="CM347" s="180"/>
      <c r="CN347" s="180"/>
      <c r="CO347" s="180"/>
      <c r="CP347" s="180"/>
      <c r="CQ347" s="180"/>
      <c r="CR347" s="180"/>
      <c r="CS347" s="180"/>
      <c r="CT347" s="180"/>
      <c r="CU347" s="180"/>
      <c r="CV347" s="180"/>
      <c r="CW347" s="180"/>
      <c r="CX347" s="180"/>
      <c r="CY347" s="180"/>
      <c r="CZ347" s="180"/>
    </row>
    <row r="348" spans="1:104" x14ac:dyDescent="0.45">
      <c r="A348" s="180" t="s">
        <v>3</v>
      </c>
      <c r="B348" s="73">
        <v>22</v>
      </c>
      <c r="C348" s="73">
        <v>22</v>
      </c>
      <c r="D348" s="180" t="s">
        <v>296</v>
      </c>
      <c r="E348" s="39">
        <v>43573</v>
      </c>
      <c r="F348" s="179">
        <v>0.56666666666666665</v>
      </c>
      <c r="G348" s="180">
        <v>1</v>
      </c>
      <c r="H348" s="180"/>
      <c r="I348" s="180"/>
      <c r="J348" s="180"/>
      <c r="K348" s="180"/>
      <c r="L348" s="180"/>
      <c r="M348" s="180"/>
      <c r="N348" s="180"/>
      <c r="O348" s="180"/>
      <c r="P348" s="180"/>
      <c r="AS348" s="180"/>
      <c r="AT348" s="180"/>
      <c r="AU348" s="180"/>
      <c r="AV348" s="180"/>
      <c r="AW348" s="180"/>
      <c r="AX348" s="180"/>
      <c r="AY348" s="180"/>
      <c r="AZ348" s="180"/>
      <c r="BA348" s="180"/>
      <c r="BB348" s="180"/>
      <c r="BC348" s="180"/>
      <c r="BD348" s="180"/>
      <c r="BE348" s="180"/>
      <c r="BF348" s="180"/>
      <c r="BG348" s="180"/>
      <c r="BH348" s="180"/>
      <c r="BI348" s="180"/>
      <c r="BJ348" s="180"/>
      <c r="BK348" s="180"/>
      <c r="BL348" s="180"/>
      <c r="BM348" s="180"/>
      <c r="BN348" s="180"/>
      <c r="BO348" s="180"/>
      <c r="BP348" s="180"/>
      <c r="BQ348" s="180"/>
      <c r="BR348" s="180"/>
      <c r="BS348" s="180"/>
      <c r="BT348" s="180"/>
      <c r="BU348" s="180"/>
      <c r="BV348" s="180"/>
      <c r="BW348" s="180"/>
      <c r="BX348" s="180"/>
      <c r="BY348" s="180"/>
      <c r="BZ348" s="180"/>
      <c r="CA348" s="180"/>
      <c r="CB348" s="180"/>
      <c r="CC348" s="180"/>
      <c r="CD348" s="180"/>
      <c r="CE348" s="180"/>
      <c r="CF348" s="180"/>
      <c r="CG348" s="180"/>
      <c r="CH348" s="180"/>
      <c r="CI348" s="180"/>
      <c r="CJ348" s="180"/>
      <c r="CK348" s="180"/>
      <c r="CL348" s="180"/>
      <c r="CM348" s="180"/>
      <c r="CN348" s="180"/>
      <c r="CO348" s="180"/>
      <c r="CP348" s="180"/>
      <c r="CQ348" s="180"/>
      <c r="CR348" s="180"/>
      <c r="CS348" s="180"/>
      <c r="CT348" s="180"/>
      <c r="CU348" s="180"/>
      <c r="CV348" s="180"/>
      <c r="CW348" s="180"/>
      <c r="CX348" s="180"/>
      <c r="CY348" s="180"/>
      <c r="CZ348" s="180"/>
    </row>
    <row r="349" spans="1:104" x14ac:dyDescent="0.45">
      <c r="A349" s="180" t="s">
        <v>3</v>
      </c>
      <c r="B349" s="73">
        <v>3</v>
      </c>
      <c r="C349" s="73"/>
      <c r="D349" s="180" t="s">
        <v>296</v>
      </c>
      <c r="E349" s="39">
        <v>43573</v>
      </c>
      <c r="F349" s="179">
        <v>0.77569444444444446</v>
      </c>
      <c r="G349" s="180">
        <v>1</v>
      </c>
      <c r="H349" s="180"/>
      <c r="I349" s="180"/>
      <c r="J349" s="180"/>
      <c r="K349" s="180"/>
      <c r="L349" s="180"/>
      <c r="M349" s="180"/>
      <c r="N349" s="180"/>
      <c r="O349" s="180"/>
      <c r="P349" s="180"/>
      <c r="AS349" s="180"/>
      <c r="AT349" s="180"/>
      <c r="AU349" s="180"/>
      <c r="AV349" s="180"/>
      <c r="AW349" s="180"/>
      <c r="AX349" s="180"/>
      <c r="AY349" s="180"/>
      <c r="AZ349" s="180"/>
      <c r="BA349" s="180"/>
      <c r="BB349" s="180"/>
      <c r="BC349" s="180"/>
      <c r="BD349" s="180"/>
      <c r="BE349" s="180"/>
      <c r="BF349" s="180"/>
      <c r="BG349" s="180"/>
      <c r="BH349" s="180"/>
      <c r="BI349" s="180"/>
      <c r="BJ349" s="180"/>
      <c r="BK349" s="180"/>
      <c r="BL349" s="180"/>
      <c r="BM349" s="180"/>
      <c r="BN349" s="180"/>
      <c r="BO349" s="180"/>
      <c r="BP349" s="180"/>
      <c r="BQ349" s="180"/>
      <c r="BR349" s="180"/>
      <c r="BS349" s="180"/>
      <c r="BT349" s="180"/>
      <c r="BU349" s="180"/>
      <c r="BV349" s="180"/>
      <c r="BW349" s="180"/>
      <c r="BX349" s="180"/>
      <c r="BY349" s="180"/>
      <c r="BZ349" s="180"/>
      <c r="CA349" s="180"/>
      <c r="CB349" s="180"/>
      <c r="CC349" s="180"/>
      <c r="CD349" s="180"/>
      <c r="CE349" s="180"/>
      <c r="CF349" s="180"/>
      <c r="CG349" s="180"/>
      <c r="CH349" s="180"/>
      <c r="CI349" s="180"/>
      <c r="CJ349" s="180"/>
      <c r="CK349" s="180"/>
      <c r="CL349" s="180"/>
      <c r="CM349" s="180"/>
      <c r="CN349" s="180"/>
      <c r="CO349" s="180"/>
      <c r="CP349" s="180"/>
      <c r="CQ349" s="180"/>
      <c r="CR349" s="180"/>
      <c r="CS349" s="180"/>
      <c r="CT349" s="180"/>
      <c r="CU349" s="180"/>
      <c r="CV349" s="180"/>
      <c r="CW349" s="180"/>
      <c r="CX349" s="180"/>
      <c r="CY349" s="180"/>
      <c r="CZ349" s="180"/>
    </row>
    <row r="350" spans="1:104" x14ac:dyDescent="0.45">
      <c r="A350" s="180" t="s">
        <v>3</v>
      </c>
      <c r="B350" s="73">
        <v>15</v>
      </c>
      <c r="C350" s="73">
        <v>15</v>
      </c>
      <c r="D350" s="180" t="s">
        <v>271</v>
      </c>
      <c r="E350" s="39">
        <v>43573</v>
      </c>
      <c r="F350" s="179">
        <v>0.69791666666666663</v>
      </c>
      <c r="G350" s="180">
        <v>3</v>
      </c>
      <c r="H350" s="180" t="s">
        <v>343</v>
      </c>
      <c r="I350" s="180"/>
      <c r="J350" s="180"/>
      <c r="K350" s="180"/>
      <c r="L350" s="180"/>
      <c r="M350" s="180"/>
      <c r="N350" s="180"/>
      <c r="O350" s="180"/>
      <c r="P350" s="180"/>
      <c r="AS350" s="180"/>
      <c r="AT350" s="180"/>
      <c r="AU350" s="180"/>
      <c r="AV350" s="180"/>
      <c r="AW350" s="180"/>
      <c r="AX350" s="180"/>
      <c r="AY350" s="180"/>
      <c r="AZ350" s="180"/>
      <c r="BA350" s="180"/>
      <c r="BB350" s="180"/>
      <c r="BC350" s="180"/>
      <c r="BD350" s="180"/>
      <c r="BE350" s="180"/>
      <c r="BF350" s="180"/>
      <c r="BG350" s="180"/>
      <c r="BH350" s="180"/>
      <c r="BI350" s="180"/>
      <c r="BJ350" s="180"/>
      <c r="BK350" s="180"/>
      <c r="BL350" s="180"/>
      <c r="BM350" s="180"/>
      <c r="BN350" s="180"/>
      <c r="BO350" s="180"/>
      <c r="BP350" s="180"/>
      <c r="BQ350" s="180"/>
      <c r="BR350" s="180"/>
      <c r="BS350" s="180"/>
      <c r="BT350" s="180"/>
      <c r="BU350" s="180"/>
      <c r="BV350" s="180"/>
      <c r="BW350" s="180"/>
      <c r="BX350" s="180"/>
      <c r="BY350" s="180"/>
      <c r="BZ350" s="180"/>
      <c r="CA350" s="180"/>
      <c r="CB350" s="180"/>
      <c r="CC350" s="180"/>
      <c r="CD350" s="180"/>
      <c r="CE350" s="180"/>
      <c r="CF350" s="180"/>
      <c r="CG350" s="180"/>
      <c r="CH350" s="180"/>
      <c r="CI350" s="180"/>
      <c r="CJ350" s="180"/>
      <c r="CK350" s="180"/>
      <c r="CL350" s="180"/>
      <c r="CM350" s="180"/>
      <c r="CN350" s="180"/>
      <c r="CO350" s="180"/>
      <c r="CP350" s="180"/>
      <c r="CQ350" s="180"/>
      <c r="CR350" s="180"/>
      <c r="CS350" s="180"/>
      <c r="CT350" s="180"/>
      <c r="CU350" s="180"/>
      <c r="CV350" s="180"/>
      <c r="CW350" s="180"/>
      <c r="CX350" s="180"/>
      <c r="CY350" s="180"/>
      <c r="CZ350" s="180"/>
    </row>
    <row r="351" spans="1:104" x14ac:dyDescent="0.45">
      <c r="A351" s="180" t="s">
        <v>3</v>
      </c>
      <c r="B351" s="73">
        <v>10</v>
      </c>
      <c r="C351" s="73"/>
      <c r="D351" s="180" t="s">
        <v>414</v>
      </c>
      <c r="E351" s="39">
        <v>43574</v>
      </c>
      <c r="F351" s="179">
        <v>0.68958333333333333</v>
      </c>
      <c r="G351" s="180">
        <v>8</v>
      </c>
      <c r="H351" s="180"/>
      <c r="I351" s="180"/>
      <c r="J351" s="180"/>
      <c r="K351" s="180"/>
      <c r="L351" s="180"/>
      <c r="M351" s="180"/>
      <c r="N351" s="180"/>
      <c r="O351" s="180"/>
      <c r="P351" s="180"/>
      <c r="AS351" s="180"/>
      <c r="AT351" s="180"/>
      <c r="AU351" s="180"/>
      <c r="AV351" s="180"/>
      <c r="AW351" s="180"/>
      <c r="AX351" s="180"/>
      <c r="AY351" s="180"/>
      <c r="AZ351" s="180"/>
      <c r="BA351" s="180"/>
      <c r="BB351" s="180"/>
      <c r="BC351" s="180"/>
      <c r="BD351" s="180"/>
      <c r="BE351" s="180"/>
      <c r="BF351" s="180"/>
      <c r="BG351" s="180"/>
      <c r="BH351" s="180"/>
      <c r="BI351" s="180"/>
      <c r="BJ351" s="180"/>
      <c r="BK351" s="180"/>
      <c r="BL351" s="180"/>
      <c r="BM351" s="180"/>
      <c r="BN351" s="180"/>
      <c r="BO351" s="180"/>
      <c r="BP351" s="180"/>
      <c r="BQ351" s="180"/>
      <c r="BR351" s="180"/>
      <c r="BS351" s="180"/>
      <c r="BT351" s="180"/>
      <c r="BU351" s="180"/>
      <c r="BV351" s="180"/>
      <c r="BW351" s="180"/>
      <c r="BX351" s="180"/>
      <c r="BY351" s="180"/>
      <c r="BZ351" s="180"/>
      <c r="CA351" s="180"/>
      <c r="CB351" s="180"/>
      <c r="CC351" s="180"/>
      <c r="CD351" s="180"/>
      <c r="CE351" s="180"/>
      <c r="CF351" s="180"/>
      <c r="CG351" s="180"/>
      <c r="CH351" s="180"/>
      <c r="CI351" s="180"/>
      <c r="CJ351" s="180"/>
      <c r="CK351" s="180"/>
      <c r="CL351" s="180"/>
      <c r="CM351" s="180"/>
      <c r="CN351" s="180"/>
      <c r="CO351" s="180"/>
      <c r="CP351" s="180"/>
      <c r="CQ351" s="180"/>
      <c r="CR351" s="180"/>
      <c r="CS351" s="180"/>
      <c r="CT351" s="180"/>
      <c r="CU351" s="180"/>
      <c r="CV351" s="180"/>
      <c r="CW351" s="180"/>
      <c r="CX351" s="180"/>
      <c r="CY351" s="180"/>
      <c r="CZ351" s="180"/>
    </row>
    <row r="352" spans="1:104" x14ac:dyDescent="0.45">
      <c r="A352" s="180" t="s">
        <v>3</v>
      </c>
      <c r="B352" s="73">
        <v>11</v>
      </c>
      <c r="C352" s="73">
        <v>11</v>
      </c>
      <c r="D352" s="180" t="s">
        <v>414</v>
      </c>
      <c r="E352" s="39">
        <v>43574</v>
      </c>
      <c r="F352" s="179">
        <v>0.69791666666666663</v>
      </c>
      <c r="G352" s="180">
        <v>1</v>
      </c>
      <c r="H352" s="180"/>
      <c r="I352" s="180"/>
      <c r="J352" s="180"/>
      <c r="K352" s="180"/>
      <c r="L352" s="180"/>
      <c r="M352" s="180"/>
      <c r="N352" s="180"/>
      <c r="O352" s="180"/>
      <c r="P352" s="180"/>
      <c r="AS352" s="180"/>
      <c r="AT352" s="180"/>
      <c r="AU352" s="180"/>
      <c r="AV352" s="180"/>
      <c r="AW352" s="180"/>
      <c r="AX352" s="180"/>
      <c r="AY352" s="180"/>
      <c r="AZ352" s="180"/>
      <c r="BA352" s="180"/>
      <c r="BB352" s="180"/>
      <c r="BC352" s="180"/>
      <c r="BD352" s="180"/>
      <c r="BE352" s="180"/>
      <c r="BF352" s="180"/>
      <c r="BG352" s="180"/>
      <c r="BH352" s="180"/>
      <c r="BI352" s="180"/>
      <c r="BJ352" s="180"/>
      <c r="BK352" s="180"/>
      <c r="BL352" s="180"/>
      <c r="BM352" s="180"/>
      <c r="BN352" s="180"/>
      <c r="BO352" s="180"/>
      <c r="BP352" s="180"/>
      <c r="BQ352" s="180"/>
      <c r="BR352" s="180"/>
      <c r="BS352" s="180"/>
      <c r="BT352" s="180"/>
      <c r="BU352" s="180"/>
      <c r="BV352" s="180"/>
      <c r="BW352" s="180"/>
      <c r="BX352" s="180"/>
      <c r="BY352" s="180"/>
      <c r="BZ352" s="180"/>
      <c r="CA352" s="180"/>
      <c r="CB352" s="180"/>
      <c r="CC352" s="180"/>
      <c r="CD352" s="180"/>
      <c r="CE352" s="180"/>
      <c r="CF352" s="180"/>
      <c r="CG352" s="180"/>
      <c r="CH352" s="180"/>
      <c r="CI352" s="180"/>
      <c r="CJ352" s="180"/>
      <c r="CK352" s="180"/>
      <c r="CL352" s="180"/>
      <c r="CM352" s="180"/>
      <c r="CN352" s="180"/>
      <c r="CO352" s="180"/>
      <c r="CP352" s="180"/>
      <c r="CQ352" s="180"/>
      <c r="CR352" s="180"/>
      <c r="CS352" s="180"/>
      <c r="CT352" s="180"/>
      <c r="CU352" s="180"/>
      <c r="CV352" s="180"/>
      <c r="CW352" s="180"/>
      <c r="CX352" s="180"/>
      <c r="CY352" s="180"/>
      <c r="CZ352" s="180"/>
    </row>
    <row r="353" spans="1:104" x14ac:dyDescent="0.45">
      <c r="A353" s="180" t="s">
        <v>3</v>
      </c>
      <c r="B353" s="73">
        <v>9</v>
      </c>
      <c r="C353" s="73">
        <v>9</v>
      </c>
      <c r="D353" s="180" t="s">
        <v>296</v>
      </c>
      <c r="E353" s="39">
        <v>43574</v>
      </c>
      <c r="F353" s="179">
        <v>0.77500000000000002</v>
      </c>
      <c r="G353" s="180">
        <v>1</v>
      </c>
      <c r="H353" s="180"/>
      <c r="I353" s="180"/>
      <c r="J353" s="180"/>
      <c r="K353" s="180"/>
      <c r="L353" s="180"/>
      <c r="M353" s="180"/>
      <c r="N353" s="180"/>
      <c r="O353" s="180"/>
      <c r="P353" s="180"/>
      <c r="AS353" s="180"/>
      <c r="AT353" s="180"/>
      <c r="AU353" s="180"/>
      <c r="AV353" s="180"/>
      <c r="AW353" s="180"/>
      <c r="AX353" s="180"/>
      <c r="AY353" s="180"/>
      <c r="AZ353" s="180"/>
      <c r="BA353" s="180"/>
      <c r="BB353" s="180"/>
      <c r="BC353" s="180"/>
      <c r="BD353" s="180"/>
      <c r="BE353" s="180"/>
      <c r="BF353" s="180"/>
      <c r="BG353" s="180"/>
      <c r="BH353" s="180"/>
      <c r="BI353" s="180"/>
      <c r="BJ353" s="180"/>
      <c r="BK353" s="180"/>
      <c r="BL353" s="180"/>
      <c r="BM353" s="180"/>
      <c r="BN353" s="180"/>
      <c r="BO353" s="180"/>
      <c r="BP353" s="180"/>
      <c r="BQ353" s="180"/>
      <c r="BR353" s="180"/>
      <c r="BS353" s="180"/>
      <c r="BT353" s="180"/>
      <c r="BU353" s="180"/>
      <c r="BV353" s="180"/>
      <c r="BW353" s="180"/>
      <c r="BX353" s="180"/>
      <c r="BY353" s="180"/>
      <c r="BZ353" s="180"/>
      <c r="CA353" s="180"/>
      <c r="CB353" s="180"/>
      <c r="CC353" s="180"/>
      <c r="CD353" s="180"/>
      <c r="CE353" s="180"/>
      <c r="CF353" s="180"/>
      <c r="CG353" s="180"/>
      <c r="CH353" s="180"/>
      <c r="CI353" s="180"/>
      <c r="CJ353" s="180"/>
      <c r="CK353" s="180"/>
      <c r="CL353" s="180"/>
      <c r="CM353" s="180"/>
      <c r="CN353" s="180"/>
      <c r="CO353" s="180"/>
      <c r="CP353" s="180"/>
      <c r="CQ353" s="180"/>
      <c r="CR353" s="180"/>
      <c r="CS353" s="180"/>
      <c r="CT353" s="180"/>
      <c r="CU353" s="180"/>
      <c r="CV353" s="180"/>
      <c r="CW353" s="180"/>
      <c r="CX353" s="180"/>
      <c r="CY353" s="180"/>
      <c r="CZ353" s="180"/>
    </row>
    <row r="354" spans="1:104" x14ac:dyDescent="0.45">
      <c r="A354" s="180" t="s">
        <v>3</v>
      </c>
      <c r="B354" s="73">
        <v>1</v>
      </c>
      <c r="C354" s="73"/>
      <c r="D354" s="180" t="s">
        <v>296</v>
      </c>
      <c r="E354" s="39">
        <v>43574</v>
      </c>
      <c r="F354" s="179">
        <v>0.67291666666666661</v>
      </c>
      <c r="G354" s="180">
        <v>1</v>
      </c>
      <c r="H354" s="180"/>
      <c r="I354" s="180"/>
      <c r="J354" s="180"/>
      <c r="K354" s="180"/>
      <c r="L354" s="180"/>
      <c r="M354" s="180"/>
      <c r="N354" s="180"/>
      <c r="O354" s="180"/>
      <c r="P354" s="180"/>
      <c r="AS354" s="180"/>
      <c r="AT354" s="180"/>
      <c r="AU354" s="180"/>
      <c r="AV354" s="180"/>
      <c r="AW354" s="180"/>
      <c r="AX354" s="180"/>
      <c r="AY354" s="180"/>
      <c r="AZ354" s="180"/>
      <c r="BA354" s="180"/>
      <c r="BB354" s="180"/>
      <c r="BC354" s="180"/>
      <c r="BD354" s="180"/>
      <c r="BE354" s="180"/>
      <c r="BF354" s="180"/>
      <c r="BG354" s="180"/>
      <c r="BH354" s="180"/>
      <c r="BI354" s="180"/>
      <c r="BJ354" s="180"/>
      <c r="BK354" s="180"/>
      <c r="BL354" s="180"/>
      <c r="BM354" s="180"/>
      <c r="BN354" s="180"/>
      <c r="BO354" s="180"/>
      <c r="BP354" s="180"/>
      <c r="BQ354" s="180"/>
      <c r="BR354" s="180"/>
      <c r="BS354" s="180"/>
      <c r="BT354" s="180"/>
      <c r="BU354" s="180"/>
      <c r="BV354" s="180"/>
      <c r="BW354" s="180"/>
      <c r="BX354" s="180"/>
      <c r="BY354" s="180"/>
      <c r="BZ354" s="180"/>
      <c r="CA354" s="180"/>
      <c r="CB354" s="180"/>
      <c r="CC354" s="180"/>
      <c r="CD354" s="180"/>
      <c r="CE354" s="180"/>
      <c r="CF354" s="180"/>
      <c r="CG354" s="180"/>
      <c r="CH354" s="180"/>
      <c r="CI354" s="180"/>
      <c r="CJ354" s="180"/>
      <c r="CK354" s="180"/>
      <c r="CL354" s="180"/>
      <c r="CM354" s="180"/>
      <c r="CN354" s="180"/>
      <c r="CO354" s="180"/>
      <c r="CP354" s="180"/>
      <c r="CQ354" s="180"/>
      <c r="CR354" s="180"/>
      <c r="CS354" s="180"/>
      <c r="CT354" s="180"/>
      <c r="CU354" s="180"/>
      <c r="CV354" s="180"/>
      <c r="CW354" s="180"/>
      <c r="CX354" s="180"/>
      <c r="CY354" s="180"/>
      <c r="CZ354" s="180"/>
    </row>
    <row r="355" spans="1:104" x14ac:dyDescent="0.45">
      <c r="A355" s="180" t="s">
        <v>3</v>
      </c>
      <c r="B355" s="73">
        <v>9</v>
      </c>
      <c r="C355" s="73"/>
      <c r="D355" s="180" t="s">
        <v>271</v>
      </c>
      <c r="E355" s="39">
        <v>43574</v>
      </c>
      <c r="F355" s="179">
        <v>0.4375</v>
      </c>
      <c r="G355" s="180">
        <v>2</v>
      </c>
      <c r="H355" s="180"/>
      <c r="I355" s="180"/>
      <c r="J355" s="180"/>
      <c r="K355" s="180"/>
      <c r="L355" s="180"/>
      <c r="M355" s="180"/>
      <c r="N355" s="180"/>
      <c r="O355" s="180"/>
      <c r="P355" s="180"/>
      <c r="AS355" s="180"/>
      <c r="AT355" s="180"/>
      <c r="AU355" s="180"/>
      <c r="AV355" s="180"/>
      <c r="AW355" s="180"/>
      <c r="AX355" s="180"/>
      <c r="AY355" s="180"/>
      <c r="AZ355" s="180"/>
      <c r="BA355" s="180"/>
      <c r="BB355" s="180"/>
      <c r="BC355" s="180"/>
      <c r="BD355" s="180"/>
      <c r="BE355" s="180"/>
      <c r="BF355" s="180"/>
      <c r="BG355" s="180"/>
      <c r="BH355" s="180"/>
      <c r="BI355" s="180"/>
      <c r="BJ355" s="180"/>
      <c r="BK355" s="180"/>
      <c r="BL355" s="180"/>
      <c r="BM355" s="180"/>
      <c r="BN355" s="180"/>
      <c r="BO355" s="180"/>
      <c r="BP355" s="180"/>
      <c r="BQ355" s="180"/>
      <c r="BR355" s="180"/>
      <c r="BS355" s="180"/>
      <c r="BT355" s="180"/>
      <c r="BU355" s="180"/>
      <c r="BV355" s="180"/>
      <c r="BW355" s="180"/>
      <c r="BX355" s="180"/>
      <c r="BY355" s="180"/>
      <c r="BZ355" s="180"/>
      <c r="CA355" s="180"/>
      <c r="CB355" s="180"/>
      <c r="CC355" s="180"/>
      <c r="CD355" s="180"/>
      <c r="CE355" s="180"/>
      <c r="CF355" s="180"/>
      <c r="CG355" s="180"/>
      <c r="CH355" s="180"/>
      <c r="CI355" s="180"/>
      <c r="CJ355" s="180"/>
      <c r="CK355" s="180"/>
      <c r="CL355" s="180"/>
      <c r="CM355" s="180"/>
      <c r="CN355" s="180"/>
      <c r="CO355" s="180"/>
      <c r="CP355" s="180"/>
      <c r="CQ355" s="180"/>
      <c r="CR355" s="180"/>
      <c r="CS355" s="180"/>
      <c r="CT355" s="180"/>
      <c r="CU355" s="180"/>
      <c r="CV355" s="180"/>
      <c r="CW355" s="180"/>
      <c r="CX355" s="180"/>
      <c r="CY355" s="180"/>
      <c r="CZ355" s="180"/>
    </row>
    <row r="356" spans="1:104" x14ac:dyDescent="0.45">
      <c r="A356" s="180" t="s">
        <v>3</v>
      </c>
      <c r="B356" s="73">
        <v>2</v>
      </c>
      <c r="C356" s="73">
        <v>2</v>
      </c>
      <c r="D356" s="180" t="s">
        <v>299</v>
      </c>
      <c r="E356" s="39">
        <v>43574</v>
      </c>
      <c r="F356" s="179">
        <v>0.52083333333333337</v>
      </c>
      <c r="G356" s="180">
        <v>1</v>
      </c>
      <c r="H356" s="180"/>
      <c r="I356" s="180"/>
      <c r="J356" s="180"/>
      <c r="K356" s="180"/>
      <c r="L356" s="180"/>
      <c r="M356" s="180"/>
      <c r="N356" s="180"/>
      <c r="O356" s="180"/>
      <c r="P356" s="180"/>
      <c r="AS356" s="180"/>
      <c r="AT356" s="180"/>
      <c r="AU356" s="180"/>
      <c r="AV356" s="180"/>
      <c r="AW356" s="180"/>
      <c r="AX356" s="180"/>
      <c r="AY356" s="180"/>
      <c r="AZ356" s="180"/>
      <c r="BA356" s="180"/>
      <c r="BB356" s="180"/>
      <c r="BC356" s="180"/>
      <c r="BD356" s="180"/>
      <c r="BE356" s="180"/>
      <c r="BF356" s="180"/>
      <c r="BG356" s="180"/>
      <c r="BH356" s="180"/>
      <c r="BI356" s="180"/>
      <c r="BJ356" s="180"/>
      <c r="BK356" s="180"/>
      <c r="BL356" s="180"/>
      <c r="BM356" s="180"/>
      <c r="BN356" s="180"/>
      <c r="BO356" s="180"/>
      <c r="BP356" s="180"/>
      <c r="BQ356" s="180"/>
      <c r="BR356" s="180"/>
      <c r="BS356" s="180"/>
      <c r="BT356" s="180"/>
      <c r="BU356" s="180"/>
      <c r="BV356" s="180"/>
      <c r="BW356" s="180"/>
      <c r="BX356" s="180"/>
      <c r="BY356" s="180"/>
      <c r="BZ356" s="180"/>
      <c r="CA356" s="180"/>
      <c r="CB356" s="180"/>
      <c r="CC356" s="180"/>
      <c r="CD356" s="180"/>
      <c r="CE356" s="180"/>
      <c r="CF356" s="180"/>
      <c r="CG356" s="180"/>
      <c r="CH356" s="180"/>
      <c r="CI356" s="180"/>
      <c r="CJ356" s="180"/>
      <c r="CK356" s="180"/>
      <c r="CL356" s="180"/>
      <c r="CM356" s="180"/>
      <c r="CN356" s="180"/>
      <c r="CO356" s="180"/>
      <c r="CP356" s="180"/>
      <c r="CQ356" s="180"/>
      <c r="CR356" s="180"/>
      <c r="CS356" s="180"/>
      <c r="CT356" s="180"/>
      <c r="CU356" s="180"/>
      <c r="CV356" s="180"/>
      <c r="CW356" s="180"/>
      <c r="CX356" s="180"/>
      <c r="CY356" s="180"/>
      <c r="CZ356" s="180"/>
    </row>
    <row r="357" spans="1:104" x14ac:dyDescent="0.45">
      <c r="A357" s="180" t="s">
        <v>3</v>
      </c>
      <c r="B357" s="73">
        <v>2</v>
      </c>
      <c r="C357" s="73">
        <v>2</v>
      </c>
      <c r="D357" s="180" t="s">
        <v>277</v>
      </c>
      <c r="E357" s="39">
        <v>43574</v>
      </c>
      <c r="F357" s="179">
        <v>0.75</v>
      </c>
      <c r="G357" s="180">
        <v>1</v>
      </c>
      <c r="H357" s="180"/>
      <c r="I357" s="180"/>
      <c r="J357" s="180"/>
      <c r="K357" s="180"/>
      <c r="L357" s="180"/>
      <c r="M357" s="180"/>
      <c r="N357" s="180"/>
      <c r="O357" s="180"/>
      <c r="P357" s="180"/>
      <c r="AS357" s="180"/>
      <c r="AT357" s="180"/>
      <c r="AU357" s="180"/>
      <c r="AV357" s="180"/>
      <c r="AW357" s="180"/>
      <c r="AX357" s="180"/>
      <c r="AY357" s="180"/>
      <c r="AZ357" s="180"/>
      <c r="BA357" s="180"/>
      <c r="BB357" s="180"/>
      <c r="BC357" s="180"/>
      <c r="BD357" s="180"/>
      <c r="BE357" s="180"/>
      <c r="BF357" s="180"/>
      <c r="BG357" s="180"/>
      <c r="BH357" s="180"/>
      <c r="BI357" s="180"/>
      <c r="BJ357" s="180"/>
      <c r="BK357" s="180"/>
      <c r="BL357" s="180"/>
      <c r="BM357" s="180"/>
      <c r="BN357" s="180"/>
      <c r="BO357" s="180"/>
      <c r="BP357" s="180"/>
      <c r="BQ357" s="180"/>
      <c r="BR357" s="180"/>
      <c r="BS357" s="180"/>
      <c r="BT357" s="180"/>
      <c r="BU357" s="180"/>
      <c r="BV357" s="180"/>
      <c r="BW357" s="180"/>
      <c r="BX357" s="180"/>
      <c r="BY357" s="180"/>
      <c r="BZ357" s="180"/>
      <c r="CA357" s="180"/>
      <c r="CB357" s="180"/>
      <c r="CC357" s="180"/>
      <c r="CD357" s="180"/>
      <c r="CE357" s="180"/>
      <c r="CF357" s="180"/>
      <c r="CG357" s="180"/>
      <c r="CH357" s="180"/>
      <c r="CI357" s="180"/>
      <c r="CJ357" s="180"/>
      <c r="CK357" s="180"/>
      <c r="CL357" s="180"/>
      <c r="CM357" s="180"/>
      <c r="CN357" s="180"/>
      <c r="CO357" s="180"/>
      <c r="CP357" s="180"/>
      <c r="CQ357" s="180"/>
      <c r="CR357" s="180"/>
      <c r="CS357" s="180"/>
      <c r="CT357" s="180"/>
      <c r="CU357" s="180"/>
      <c r="CV357" s="180"/>
      <c r="CW357" s="180"/>
      <c r="CX357" s="180"/>
      <c r="CY357" s="180"/>
      <c r="CZ357" s="180"/>
    </row>
    <row r="358" spans="1:104" x14ac:dyDescent="0.45">
      <c r="A358" s="180" t="s">
        <v>3</v>
      </c>
      <c r="B358" s="73">
        <v>7</v>
      </c>
      <c r="C358" s="73"/>
      <c r="D358" s="180" t="s">
        <v>344</v>
      </c>
      <c r="E358" s="39">
        <v>43577</v>
      </c>
      <c r="F358" s="179">
        <v>0.34027777777777773</v>
      </c>
      <c r="G358" s="180">
        <v>1</v>
      </c>
      <c r="H358" s="180"/>
      <c r="I358" s="180"/>
      <c r="J358" s="180"/>
      <c r="K358" s="180"/>
      <c r="L358" s="180"/>
      <c r="M358" s="180"/>
      <c r="N358" s="180"/>
      <c r="O358" s="180"/>
      <c r="P358" s="180"/>
      <c r="AS358" s="180"/>
      <c r="AT358" s="180"/>
      <c r="AU358" s="180"/>
      <c r="AV358" s="180"/>
      <c r="AW358" s="180"/>
      <c r="AX358" s="180"/>
      <c r="AY358" s="180"/>
      <c r="AZ358" s="180"/>
      <c r="BA358" s="180"/>
      <c r="BB358" s="180"/>
      <c r="BC358" s="180"/>
      <c r="BD358" s="180"/>
      <c r="BE358" s="180"/>
      <c r="BF358" s="180"/>
      <c r="BG358" s="180"/>
      <c r="BH358" s="180"/>
      <c r="BI358" s="180"/>
      <c r="BJ358" s="180"/>
      <c r="BK358" s="180"/>
      <c r="BL358" s="180"/>
      <c r="BM358" s="180"/>
      <c r="BN358" s="180"/>
      <c r="BO358" s="180"/>
      <c r="BP358" s="180"/>
      <c r="BQ358" s="180"/>
      <c r="BR358" s="180"/>
      <c r="BS358" s="180"/>
      <c r="BT358" s="180"/>
      <c r="BU358" s="180"/>
      <c r="BV358" s="180"/>
      <c r="BW358" s="180"/>
      <c r="BX358" s="180"/>
      <c r="BY358" s="180"/>
      <c r="BZ358" s="180"/>
      <c r="CA358" s="180"/>
      <c r="CB358" s="180"/>
      <c r="CC358" s="180"/>
      <c r="CD358" s="180"/>
      <c r="CE358" s="180"/>
      <c r="CF358" s="180"/>
      <c r="CG358" s="180"/>
      <c r="CH358" s="180"/>
      <c r="CI358" s="180"/>
      <c r="CJ358" s="180"/>
      <c r="CK358" s="180"/>
      <c r="CL358" s="180"/>
      <c r="CM358" s="180"/>
      <c r="CN358" s="180"/>
      <c r="CO358" s="180"/>
      <c r="CP358" s="180"/>
      <c r="CQ358" s="180"/>
      <c r="CR358" s="180"/>
      <c r="CS358" s="180"/>
      <c r="CT358" s="180"/>
      <c r="CU358" s="180"/>
      <c r="CV358" s="180"/>
      <c r="CW358" s="180"/>
      <c r="CX358" s="180"/>
      <c r="CY358" s="180"/>
      <c r="CZ358" s="180"/>
    </row>
    <row r="359" spans="1:104" x14ac:dyDescent="0.45">
      <c r="A359" s="180" t="s">
        <v>3</v>
      </c>
      <c r="B359" s="73">
        <v>25</v>
      </c>
      <c r="C359" s="73">
        <v>25</v>
      </c>
      <c r="D359" s="180" t="s">
        <v>296</v>
      </c>
      <c r="E359" s="39">
        <v>43577</v>
      </c>
      <c r="F359" s="179">
        <v>0.58750000000000002</v>
      </c>
      <c r="G359" s="180">
        <v>1</v>
      </c>
      <c r="H359" s="180"/>
      <c r="I359" s="180"/>
      <c r="J359" s="180"/>
      <c r="K359" s="180"/>
      <c r="L359" s="180"/>
      <c r="M359" s="180"/>
      <c r="N359" s="180"/>
      <c r="O359" s="180"/>
      <c r="P359" s="180"/>
      <c r="AS359" s="180"/>
      <c r="AT359" s="180"/>
      <c r="AU359" s="180"/>
      <c r="AV359" s="180"/>
      <c r="AW359" s="180"/>
      <c r="AX359" s="180"/>
      <c r="AY359" s="180"/>
      <c r="AZ359" s="180"/>
      <c r="BA359" s="180"/>
      <c r="BB359" s="180"/>
      <c r="BC359" s="180"/>
      <c r="BD359" s="180"/>
      <c r="BE359" s="180"/>
      <c r="BF359" s="180"/>
      <c r="BG359" s="180"/>
      <c r="BH359" s="180"/>
      <c r="BI359" s="180"/>
      <c r="BJ359" s="180"/>
      <c r="BK359" s="180"/>
      <c r="BL359" s="180"/>
      <c r="BM359" s="180"/>
      <c r="BN359" s="180"/>
      <c r="BO359" s="180"/>
      <c r="BP359" s="180"/>
      <c r="BQ359" s="180"/>
      <c r="BR359" s="180"/>
      <c r="BS359" s="180"/>
      <c r="BT359" s="180"/>
      <c r="BU359" s="180"/>
      <c r="BV359" s="180"/>
      <c r="BW359" s="180"/>
      <c r="BX359" s="180"/>
      <c r="BY359" s="180"/>
      <c r="BZ359" s="180"/>
      <c r="CA359" s="180"/>
      <c r="CB359" s="180"/>
      <c r="CC359" s="180"/>
      <c r="CD359" s="180"/>
      <c r="CE359" s="180"/>
      <c r="CF359" s="180"/>
      <c r="CG359" s="180"/>
      <c r="CH359" s="180"/>
      <c r="CI359" s="180"/>
      <c r="CJ359" s="180"/>
      <c r="CK359" s="180"/>
      <c r="CL359" s="180"/>
      <c r="CM359" s="180"/>
      <c r="CN359" s="180"/>
      <c r="CO359" s="180"/>
      <c r="CP359" s="180"/>
      <c r="CQ359" s="180"/>
      <c r="CR359" s="180"/>
      <c r="CS359" s="180"/>
      <c r="CT359" s="180"/>
      <c r="CU359" s="180"/>
      <c r="CV359" s="180"/>
      <c r="CW359" s="180"/>
      <c r="CX359" s="180"/>
      <c r="CY359" s="180"/>
      <c r="CZ359" s="180"/>
    </row>
    <row r="360" spans="1:104" x14ac:dyDescent="0.45">
      <c r="A360" s="180" t="s">
        <v>3</v>
      </c>
      <c r="B360" s="73">
        <v>1</v>
      </c>
      <c r="C360" s="73">
        <v>1</v>
      </c>
      <c r="D360" s="180" t="s">
        <v>271</v>
      </c>
      <c r="E360" s="39">
        <v>43577</v>
      </c>
      <c r="F360" s="179">
        <v>0.40833333333333338</v>
      </c>
      <c r="G360" s="180">
        <v>1</v>
      </c>
      <c r="H360" s="180"/>
      <c r="I360" s="180"/>
      <c r="J360" s="180"/>
      <c r="K360" s="180"/>
      <c r="L360" s="180"/>
      <c r="M360" s="180"/>
      <c r="N360" s="180"/>
      <c r="O360" s="180"/>
      <c r="P360" s="180"/>
      <c r="AS360" s="180"/>
      <c r="AT360" s="180"/>
      <c r="AU360" s="180"/>
      <c r="AV360" s="180"/>
      <c r="AW360" s="180"/>
      <c r="AX360" s="180"/>
      <c r="AY360" s="180"/>
      <c r="AZ360" s="180"/>
      <c r="BA360" s="180"/>
      <c r="BB360" s="180"/>
      <c r="BC360" s="180"/>
      <c r="BD360" s="180"/>
      <c r="BE360" s="180"/>
      <c r="BF360" s="180"/>
      <c r="BG360" s="180"/>
      <c r="BH360" s="180"/>
      <c r="BI360" s="180"/>
      <c r="BJ360" s="180"/>
      <c r="BK360" s="180"/>
      <c r="BL360" s="180"/>
      <c r="BM360" s="180"/>
      <c r="BN360" s="180"/>
      <c r="BO360" s="180"/>
      <c r="BP360" s="180"/>
      <c r="BQ360" s="180"/>
      <c r="BR360" s="180"/>
      <c r="BS360" s="180"/>
      <c r="BT360" s="180"/>
      <c r="BU360" s="180"/>
      <c r="BV360" s="180"/>
      <c r="BW360" s="180"/>
      <c r="BX360" s="180"/>
      <c r="BY360" s="180"/>
      <c r="BZ360" s="180"/>
      <c r="CA360" s="180"/>
      <c r="CB360" s="180"/>
      <c r="CC360" s="180"/>
      <c r="CD360" s="180"/>
      <c r="CE360" s="180"/>
      <c r="CF360" s="180"/>
      <c r="CG360" s="180"/>
      <c r="CH360" s="180"/>
      <c r="CI360" s="180"/>
      <c r="CJ360" s="180"/>
      <c r="CK360" s="180"/>
      <c r="CL360" s="180"/>
      <c r="CM360" s="180"/>
      <c r="CN360" s="180"/>
      <c r="CO360" s="180"/>
      <c r="CP360" s="180"/>
      <c r="CQ360" s="180"/>
      <c r="CR360" s="180"/>
      <c r="CS360" s="180"/>
      <c r="CT360" s="180"/>
      <c r="CU360" s="180"/>
      <c r="CV360" s="180"/>
      <c r="CW360" s="180"/>
      <c r="CX360" s="180"/>
      <c r="CY360" s="180"/>
      <c r="CZ360" s="180"/>
    </row>
    <row r="361" spans="1:104" x14ac:dyDescent="0.45">
      <c r="A361" s="180" t="s">
        <v>3</v>
      </c>
      <c r="B361" s="73">
        <v>1</v>
      </c>
      <c r="C361" s="73"/>
      <c r="D361" s="180" t="s">
        <v>415</v>
      </c>
      <c r="E361" s="39">
        <v>43577</v>
      </c>
      <c r="F361" s="179">
        <v>0.30902777777777779</v>
      </c>
      <c r="G361" s="180">
        <v>1</v>
      </c>
      <c r="H361" s="180"/>
      <c r="I361" s="180"/>
      <c r="J361" s="180"/>
      <c r="K361" s="180"/>
      <c r="L361" s="180"/>
      <c r="M361" s="180"/>
      <c r="N361" s="180"/>
      <c r="O361" s="180"/>
      <c r="P361" s="180"/>
      <c r="AS361" s="180"/>
      <c r="AT361" s="180"/>
      <c r="AU361" s="180"/>
      <c r="AV361" s="180"/>
      <c r="AW361" s="180"/>
      <c r="AX361" s="180"/>
      <c r="AY361" s="180"/>
      <c r="AZ361" s="180"/>
      <c r="BA361" s="180"/>
      <c r="BB361" s="180"/>
      <c r="BC361" s="180"/>
      <c r="BD361" s="180"/>
      <c r="BE361" s="180"/>
      <c r="BF361" s="180"/>
      <c r="BG361" s="180"/>
      <c r="BH361" s="180"/>
      <c r="BI361" s="180"/>
      <c r="BJ361" s="180"/>
      <c r="BK361" s="180"/>
      <c r="BL361" s="180"/>
      <c r="BM361" s="180"/>
      <c r="BN361" s="180"/>
      <c r="BO361" s="180"/>
      <c r="BP361" s="180"/>
      <c r="BQ361" s="180"/>
      <c r="BR361" s="180"/>
      <c r="BS361" s="180"/>
      <c r="BT361" s="180"/>
      <c r="BU361" s="180"/>
      <c r="BV361" s="180"/>
      <c r="BW361" s="180"/>
      <c r="BX361" s="180"/>
      <c r="BY361" s="180"/>
      <c r="BZ361" s="180"/>
      <c r="CA361" s="180"/>
      <c r="CB361" s="180"/>
      <c r="CC361" s="180"/>
      <c r="CD361" s="180"/>
      <c r="CE361" s="180"/>
      <c r="CF361" s="180"/>
      <c r="CG361" s="180"/>
      <c r="CH361" s="180"/>
      <c r="CI361" s="180"/>
      <c r="CJ361" s="180"/>
      <c r="CK361" s="180"/>
      <c r="CL361" s="180"/>
      <c r="CM361" s="180"/>
      <c r="CN361" s="180"/>
      <c r="CO361" s="180"/>
      <c r="CP361" s="180"/>
      <c r="CQ361" s="180"/>
      <c r="CR361" s="180"/>
      <c r="CS361" s="180"/>
      <c r="CT361" s="180"/>
      <c r="CU361" s="180"/>
      <c r="CV361" s="180"/>
      <c r="CW361" s="180"/>
      <c r="CX361" s="180"/>
      <c r="CY361" s="180"/>
      <c r="CZ361" s="180"/>
    </row>
    <row r="362" spans="1:104" x14ac:dyDescent="0.45">
      <c r="A362" s="180" t="s">
        <v>3</v>
      </c>
      <c r="B362" s="73">
        <v>1</v>
      </c>
      <c r="C362" s="73">
        <v>1</v>
      </c>
      <c r="D362" s="180" t="s">
        <v>277</v>
      </c>
      <c r="E362" s="39">
        <v>43577</v>
      </c>
      <c r="F362" s="179">
        <v>0.58958333333333335</v>
      </c>
      <c r="G362" s="180">
        <v>1</v>
      </c>
      <c r="H362" s="180"/>
      <c r="I362" s="180"/>
      <c r="J362" s="180"/>
      <c r="K362" s="180"/>
      <c r="L362" s="180"/>
      <c r="M362" s="180"/>
      <c r="N362" s="180"/>
      <c r="O362" s="180"/>
      <c r="P362" s="180"/>
      <c r="AS362" s="180"/>
      <c r="AT362" s="180"/>
      <c r="AU362" s="180"/>
      <c r="AV362" s="180"/>
      <c r="AW362" s="180"/>
      <c r="AX362" s="180"/>
      <c r="AY362" s="180"/>
      <c r="AZ362" s="180"/>
      <c r="BA362" s="180"/>
      <c r="BB362" s="180"/>
      <c r="BC362" s="180"/>
      <c r="BD362" s="180"/>
      <c r="BE362" s="180"/>
      <c r="BF362" s="180"/>
      <c r="BG362" s="180"/>
      <c r="BH362" s="180"/>
      <c r="BI362" s="180"/>
      <c r="BJ362" s="180"/>
      <c r="BK362" s="180"/>
      <c r="BL362" s="180"/>
      <c r="BM362" s="180"/>
      <c r="BN362" s="180"/>
      <c r="BO362" s="180"/>
      <c r="BP362" s="180"/>
      <c r="BQ362" s="180"/>
      <c r="BR362" s="180"/>
      <c r="BS362" s="180"/>
      <c r="BT362" s="180"/>
      <c r="BU362" s="180"/>
      <c r="BV362" s="180"/>
      <c r="BW362" s="180"/>
      <c r="BX362" s="180"/>
      <c r="BY362" s="180"/>
      <c r="BZ362" s="180"/>
      <c r="CA362" s="180"/>
      <c r="CB362" s="180"/>
      <c r="CC362" s="180"/>
      <c r="CD362" s="180"/>
      <c r="CE362" s="180"/>
      <c r="CF362" s="180"/>
      <c r="CG362" s="180"/>
      <c r="CH362" s="180"/>
      <c r="CI362" s="180"/>
      <c r="CJ362" s="180"/>
      <c r="CK362" s="180"/>
      <c r="CL362" s="180"/>
      <c r="CM362" s="180"/>
      <c r="CN362" s="180"/>
      <c r="CO362" s="180"/>
      <c r="CP362" s="180"/>
      <c r="CQ362" s="180"/>
      <c r="CR362" s="180"/>
      <c r="CS362" s="180"/>
      <c r="CT362" s="180"/>
      <c r="CU362" s="180"/>
      <c r="CV362" s="180"/>
      <c r="CW362" s="180"/>
      <c r="CX362" s="180"/>
      <c r="CY362" s="180"/>
      <c r="CZ362" s="180"/>
    </row>
    <row r="363" spans="1:104" x14ac:dyDescent="0.45">
      <c r="A363" s="180" t="s">
        <v>3</v>
      </c>
      <c r="B363" s="73">
        <v>9</v>
      </c>
      <c r="C363" s="73"/>
      <c r="D363" s="180" t="s">
        <v>317</v>
      </c>
      <c r="E363" s="39">
        <v>43578</v>
      </c>
      <c r="F363" s="179">
        <v>0.81874999999999998</v>
      </c>
      <c r="G363" s="180">
        <v>5</v>
      </c>
      <c r="H363" s="180"/>
      <c r="I363" s="180"/>
      <c r="J363" s="180"/>
      <c r="K363" s="180"/>
      <c r="L363" s="180"/>
      <c r="M363" s="180"/>
      <c r="N363" s="180"/>
      <c r="O363" s="180"/>
      <c r="P363" s="180"/>
      <c r="AS363" s="180"/>
      <c r="AT363" s="180"/>
      <c r="AU363" s="180"/>
      <c r="AV363" s="180"/>
      <c r="AW363" s="180"/>
      <c r="AX363" s="180"/>
      <c r="AY363" s="180"/>
      <c r="AZ363" s="180"/>
      <c r="BA363" s="180"/>
      <c r="BB363" s="180"/>
      <c r="BC363" s="180"/>
      <c r="BD363" s="180"/>
      <c r="BE363" s="180"/>
      <c r="BF363" s="180"/>
      <c r="BG363" s="180"/>
      <c r="BH363" s="180"/>
      <c r="BI363" s="180"/>
      <c r="BJ363" s="180"/>
      <c r="BK363" s="180"/>
      <c r="BL363" s="180"/>
      <c r="BM363" s="180"/>
      <c r="BN363" s="180"/>
      <c r="BO363" s="180"/>
      <c r="BP363" s="180"/>
      <c r="BQ363" s="180"/>
      <c r="BR363" s="180"/>
      <c r="BS363" s="180"/>
      <c r="BT363" s="180"/>
      <c r="BU363" s="180"/>
      <c r="BV363" s="180"/>
      <c r="BW363" s="180"/>
      <c r="BX363" s="180"/>
      <c r="BY363" s="180"/>
      <c r="BZ363" s="180"/>
      <c r="CA363" s="180"/>
      <c r="CB363" s="180"/>
      <c r="CC363" s="180"/>
      <c r="CD363" s="180"/>
      <c r="CE363" s="180"/>
      <c r="CF363" s="180"/>
      <c r="CG363" s="180"/>
      <c r="CH363" s="180"/>
      <c r="CI363" s="180"/>
      <c r="CJ363" s="180"/>
      <c r="CK363" s="180"/>
      <c r="CL363" s="180"/>
      <c r="CM363" s="180"/>
      <c r="CN363" s="180"/>
      <c r="CO363" s="180"/>
      <c r="CP363" s="180"/>
      <c r="CQ363" s="180"/>
      <c r="CR363" s="180"/>
      <c r="CS363" s="180"/>
      <c r="CT363" s="180"/>
      <c r="CU363" s="180"/>
      <c r="CV363" s="180"/>
      <c r="CW363" s="180"/>
      <c r="CX363" s="180"/>
      <c r="CY363" s="180"/>
      <c r="CZ363" s="180"/>
    </row>
    <row r="364" spans="1:104" x14ac:dyDescent="0.45">
      <c r="A364" s="180" t="s">
        <v>3</v>
      </c>
      <c r="B364" s="73">
        <v>17</v>
      </c>
      <c r="C364" s="73">
        <v>17</v>
      </c>
      <c r="D364" s="180" t="s">
        <v>332</v>
      </c>
      <c r="E364" s="39">
        <v>43578</v>
      </c>
      <c r="F364" s="179">
        <v>0.8125</v>
      </c>
      <c r="G364" s="180">
        <v>4</v>
      </c>
      <c r="H364" s="180" t="s">
        <v>348</v>
      </c>
      <c r="I364" s="180"/>
      <c r="J364" s="180"/>
      <c r="K364" s="180"/>
      <c r="L364" s="180"/>
      <c r="M364" s="180"/>
      <c r="N364" s="180"/>
      <c r="O364" s="180"/>
      <c r="P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180"/>
      <c r="BS364" s="180"/>
      <c r="BT364" s="180"/>
      <c r="BU364" s="180"/>
      <c r="BV364" s="180"/>
      <c r="BW364" s="180"/>
      <c r="BX364" s="180"/>
      <c r="BY364" s="180"/>
      <c r="BZ364" s="180"/>
      <c r="CA364" s="180"/>
      <c r="CB364" s="180"/>
      <c r="CC364" s="180"/>
      <c r="CD364" s="180"/>
      <c r="CE364" s="180"/>
      <c r="CF364" s="180"/>
      <c r="CG364" s="180"/>
      <c r="CH364" s="180"/>
      <c r="CI364" s="180"/>
      <c r="CJ364" s="180"/>
      <c r="CK364" s="180"/>
      <c r="CL364" s="180"/>
      <c r="CM364" s="180"/>
      <c r="CN364" s="180"/>
      <c r="CO364" s="180"/>
      <c r="CP364" s="180"/>
      <c r="CQ364" s="180"/>
      <c r="CR364" s="180"/>
      <c r="CS364" s="180"/>
      <c r="CT364" s="180"/>
      <c r="CU364" s="180"/>
      <c r="CV364" s="180"/>
      <c r="CW364" s="180"/>
      <c r="CX364" s="180"/>
      <c r="CY364" s="180"/>
      <c r="CZ364" s="180"/>
    </row>
    <row r="365" spans="1:104" x14ac:dyDescent="0.45">
      <c r="A365" s="180" t="s">
        <v>3</v>
      </c>
      <c r="B365" s="73">
        <v>7</v>
      </c>
      <c r="C365" s="73"/>
      <c r="D365" s="180" t="s">
        <v>332</v>
      </c>
      <c r="E365" s="39">
        <v>43578</v>
      </c>
      <c r="F365" s="179">
        <v>0.8125</v>
      </c>
      <c r="G365" s="180">
        <v>4</v>
      </c>
      <c r="H365" s="180" t="s">
        <v>348</v>
      </c>
      <c r="I365" s="180"/>
      <c r="J365" s="180"/>
      <c r="K365" s="180"/>
      <c r="L365" s="180"/>
      <c r="M365" s="180"/>
      <c r="N365" s="180"/>
      <c r="O365" s="180"/>
      <c r="P365" s="180"/>
      <c r="AS365" s="180"/>
      <c r="AT365" s="180"/>
      <c r="AU365" s="180"/>
      <c r="AV365" s="180"/>
      <c r="AW365" s="180"/>
      <c r="AX365" s="180"/>
      <c r="AY365" s="180"/>
      <c r="AZ365" s="180"/>
      <c r="BA365" s="180"/>
      <c r="BB365" s="180"/>
      <c r="BC365" s="180"/>
      <c r="BD365" s="180"/>
      <c r="BE365" s="180"/>
      <c r="BF365" s="180"/>
      <c r="BG365" s="180"/>
      <c r="BH365" s="180"/>
      <c r="BI365" s="180"/>
      <c r="BJ365" s="180"/>
      <c r="BK365" s="180"/>
      <c r="BL365" s="180"/>
      <c r="BM365" s="180"/>
      <c r="BN365" s="180"/>
      <c r="BO365" s="180"/>
      <c r="BP365" s="180"/>
      <c r="BQ365" s="180"/>
      <c r="BR365" s="180"/>
      <c r="BS365" s="180"/>
      <c r="BT365" s="180"/>
      <c r="BU365" s="180"/>
      <c r="BV365" s="180"/>
      <c r="BW365" s="180"/>
      <c r="BX365" s="180"/>
      <c r="BY365" s="180"/>
      <c r="BZ365" s="180"/>
      <c r="CA365" s="180"/>
      <c r="CB365" s="180"/>
      <c r="CC365" s="180"/>
      <c r="CD365" s="180"/>
      <c r="CE365" s="180"/>
      <c r="CF365" s="180"/>
      <c r="CG365" s="180"/>
      <c r="CH365" s="180"/>
      <c r="CI365" s="180"/>
      <c r="CJ365" s="180"/>
      <c r="CK365" s="180"/>
      <c r="CL365" s="180"/>
      <c r="CM365" s="180"/>
      <c r="CN365" s="180"/>
      <c r="CO365" s="180"/>
      <c r="CP365" s="180"/>
      <c r="CQ365" s="180"/>
      <c r="CR365" s="180"/>
      <c r="CS365" s="180"/>
      <c r="CT365" s="180"/>
      <c r="CU365" s="180"/>
      <c r="CV365" s="180"/>
      <c r="CW365" s="180"/>
      <c r="CX365" s="180"/>
      <c r="CY365" s="180"/>
      <c r="CZ365" s="180"/>
    </row>
    <row r="366" spans="1:104" x14ac:dyDescent="0.45">
      <c r="A366" s="180" t="s">
        <v>3</v>
      </c>
      <c r="B366" s="73">
        <v>9</v>
      </c>
      <c r="C366" s="73">
        <v>9</v>
      </c>
      <c r="D366" s="180" t="s">
        <v>311</v>
      </c>
      <c r="E366" s="39">
        <v>43578</v>
      </c>
      <c r="F366" s="179">
        <v>0.8125</v>
      </c>
      <c r="G366" s="180">
        <v>9</v>
      </c>
      <c r="H366" s="180" t="s">
        <v>346</v>
      </c>
      <c r="I366" s="180"/>
      <c r="J366" s="180"/>
      <c r="K366" s="180"/>
      <c r="L366" s="180"/>
      <c r="M366" s="180"/>
      <c r="N366" s="180"/>
      <c r="O366" s="180"/>
      <c r="P366" s="180"/>
      <c r="AS366" s="180"/>
      <c r="AT366" s="180"/>
      <c r="AU366" s="180"/>
      <c r="AV366" s="180"/>
      <c r="AW366" s="180"/>
      <c r="AX366" s="180"/>
      <c r="AY366" s="180"/>
      <c r="AZ366" s="180"/>
      <c r="BA366" s="180"/>
      <c r="BB366" s="180"/>
      <c r="BC366" s="180"/>
      <c r="BD366" s="180"/>
      <c r="BE366" s="180"/>
      <c r="BF366" s="180"/>
      <c r="BG366" s="180"/>
      <c r="BH366" s="180"/>
      <c r="BI366" s="180"/>
      <c r="BJ366" s="180"/>
      <c r="BK366" s="180"/>
      <c r="BL366" s="180"/>
      <c r="BM366" s="180"/>
      <c r="BN366" s="180"/>
      <c r="BO366" s="180"/>
      <c r="BP366" s="180"/>
      <c r="BQ366" s="180"/>
      <c r="BR366" s="180"/>
      <c r="BS366" s="180"/>
      <c r="BT366" s="180"/>
      <c r="BU366" s="180"/>
      <c r="BV366" s="180"/>
      <c r="BW366" s="180"/>
      <c r="BX366" s="180"/>
      <c r="BY366" s="180"/>
      <c r="BZ366" s="180"/>
      <c r="CA366" s="180"/>
      <c r="CB366" s="180"/>
      <c r="CC366" s="180"/>
      <c r="CD366" s="180"/>
      <c r="CE366" s="180"/>
      <c r="CF366" s="180"/>
      <c r="CG366" s="180"/>
      <c r="CH366" s="180"/>
      <c r="CI366" s="180"/>
      <c r="CJ366" s="180"/>
      <c r="CK366" s="180"/>
      <c r="CL366" s="180"/>
      <c r="CM366" s="180"/>
      <c r="CN366" s="180"/>
      <c r="CO366" s="180"/>
      <c r="CP366" s="180"/>
      <c r="CQ366" s="180"/>
      <c r="CR366" s="180"/>
      <c r="CS366" s="180"/>
      <c r="CT366" s="180"/>
      <c r="CU366" s="180"/>
      <c r="CV366" s="180"/>
      <c r="CW366" s="180"/>
      <c r="CX366" s="180"/>
      <c r="CY366" s="180"/>
      <c r="CZ366" s="180"/>
    </row>
    <row r="367" spans="1:104" x14ac:dyDescent="0.45">
      <c r="A367" s="180" t="s">
        <v>3</v>
      </c>
      <c r="B367" s="73">
        <v>13</v>
      </c>
      <c r="C367" s="73">
        <v>13</v>
      </c>
      <c r="D367" s="180" t="s">
        <v>309</v>
      </c>
      <c r="E367" s="39">
        <v>43578</v>
      </c>
      <c r="F367" s="179">
        <v>0.8125</v>
      </c>
      <c r="G367" s="180">
        <v>5</v>
      </c>
      <c r="H367" s="180" t="s">
        <v>348</v>
      </c>
      <c r="I367" s="180"/>
      <c r="J367" s="180"/>
      <c r="K367" s="180"/>
      <c r="L367" s="180"/>
      <c r="M367" s="180"/>
      <c r="N367" s="180"/>
      <c r="O367" s="180"/>
      <c r="P367" s="180"/>
      <c r="AS367" s="180"/>
      <c r="AT367" s="180"/>
      <c r="AU367" s="180"/>
      <c r="AV367" s="180"/>
      <c r="AW367" s="180"/>
      <c r="AX367" s="180"/>
      <c r="AY367" s="180"/>
      <c r="AZ367" s="180"/>
      <c r="BA367" s="180"/>
      <c r="BB367" s="180"/>
      <c r="BC367" s="180"/>
      <c r="BD367" s="180"/>
      <c r="BE367" s="180"/>
      <c r="BF367" s="180"/>
      <c r="BG367" s="180"/>
      <c r="BH367" s="180"/>
      <c r="BI367" s="180"/>
      <c r="BJ367" s="180"/>
      <c r="BK367" s="180"/>
      <c r="BL367" s="180"/>
      <c r="BM367" s="180"/>
      <c r="BN367" s="180"/>
      <c r="BO367" s="180"/>
      <c r="BP367" s="180"/>
      <c r="BQ367" s="180"/>
      <c r="BR367" s="180"/>
      <c r="BS367" s="180"/>
      <c r="BT367" s="180"/>
      <c r="BU367" s="180"/>
      <c r="BV367" s="180"/>
      <c r="BW367" s="180"/>
      <c r="BX367" s="180"/>
      <c r="BY367" s="180"/>
      <c r="BZ367" s="180"/>
      <c r="CA367" s="180"/>
      <c r="CB367" s="180"/>
      <c r="CC367" s="180"/>
      <c r="CD367" s="180"/>
      <c r="CE367" s="180"/>
      <c r="CF367" s="180"/>
      <c r="CG367" s="180"/>
      <c r="CH367" s="180"/>
      <c r="CI367" s="180"/>
      <c r="CJ367" s="180"/>
      <c r="CK367" s="180"/>
      <c r="CL367" s="180"/>
      <c r="CM367" s="180"/>
      <c r="CN367" s="180"/>
      <c r="CO367" s="180"/>
      <c r="CP367" s="180"/>
      <c r="CQ367" s="180"/>
      <c r="CR367" s="180"/>
      <c r="CS367" s="180"/>
      <c r="CT367" s="180"/>
      <c r="CU367" s="180"/>
      <c r="CV367" s="180"/>
      <c r="CW367" s="180"/>
      <c r="CX367" s="180"/>
      <c r="CY367" s="180"/>
      <c r="CZ367" s="180"/>
    </row>
    <row r="368" spans="1:104" x14ac:dyDescent="0.45">
      <c r="A368" s="180" t="s">
        <v>3</v>
      </c>
      <c r="B368" s="73">
        <v>10</v>
      </c>
      <c r="C368" s="73">
        <v>10</v>
      </c>
      <c r="D368" s="180" t="s">
        <v>271</v>
      </c>
      <c r="E368" s="39">
        <v>43578</v>
      </c>
      <c r="F368" s="179">
        <v>0.8125</v>
      </c>
      <c r="G368" s="180">
        <v>3</v>
      </c>
      <c r="H368" s="180" t="s">
        <v>348</v>
      </c>
      <c r="I368" s="180"/>
      <c r="J368" s="180"/>
      <c r="K368" s="180"/>
      <c r="L368" s="180"/>
      <c r="M368" s="180"/>
      <c r="N368" s="180"/>
      <c r="O368" s="180"/>
      <c r="P368" s="180"/>
      <c r="AS368" s="180"/>
      <c r="AT368" s="180"/>
      <c r="AU368" s="180"/>
      <c r="AV368" s="180"/>
      <c r="AW368" s="180"/>
      <c r="AX368" s="180"/>
      <c r="AY368" s="180"/>
      <c r="AZ368" s="180"/>
      <c r="BA368" s="180"/>
      <c r="BB368" s="180"/>
      <c r="BC368" s="180"/>
      <c r="BD368" s="180"/>
      <c r="BE368" s="180"/>
      <c r="BF368" s="180"/>
      <c r="BG368" s="180"/>
      <c r="BH368" s="180"/>
      <c r="BI368" s="180"/>
      <c r="BJ368" s="180"/>
      <c r="BK368" s="180"/>
      <c r="BL368" s="180"/>
      <c r="BM368" s="180"/>
      <c r="BN368" s="180"/>
      <c r="BO368" s="180"/>
      <c r="BP368" s="180"/>
      <c r="BQ368" s="180"/>
      <c r="BR368" s="180"/>
      <c r="BS368" s="180"/>
      <c r="BT368" s="180"/>
      <c r="BU368" s="180"/>
      <c r="BV368" s="180"/>
      <c r="BW368" s="180"/>
      <c r="BX368" s="180"/>
      <c r="BY368" s="180"/>
      <c r="BZ368" s="180"/>
      <c r="CA368" s="180"/>
      <c r="CB368" s="180"/>
      <c r="CC368" s="180"/>
      <c r="CD368" s="180"/>
      <c r="CE368" s="180"/>
      <c r="CF368" s="180"/>
      <c r="CG368" s="180"/>
      <c r="CH368" s="180"/>
      <c r="CI368" s="180"/>
      <c r="CJ368" s="180"/>
      <c r="CK368" s="180"/>
      <c r="CL368" s="180"/>
      <c r="CM368" s="180"/>
      <c r="CN368" s="180"/>
      <c r="CO368" s="180"/>
      <c r="CP368" s="180"/>
      <c r="CQ368" s="180"/>
      <c r="CR368" s="180"/>
      <c r="CS368" s="180"/>
      <c r="CT368" s="180"/>
      <c r="CU368" s="180"/>
      <c r="CV368" s="180"/>
      <c r="CW368" s="180"/>
      <c r="CX368" s="180"/>
      <c r="CY368" s="180"/>
      <c r="CZ368" s="180"/>
    </row>
    <row r="369" spans="1:104" x14ac:dyDescent="0.45">
      <c r="A369" s="180" t="s">
        <v>3</v>
      </c>
      <c r="B369" s="73">
        <v>1</v>
      </c>
      <c r="C369" s="73"/>
      <c r="D369" s="180" t="s">
        <v>415</v>
      </c>
      <c r="E369" s="39">
        <v>43578</v>
      </c>
      <c r="F369" s="179">
        <v>0.3298611111111111</v>
      </c>
      <c r="G369" s="180">
        <v>1</v>
      </c>
      <c r="H369" s="180"/>
      <c r="I369" s="180"/>
      <c r="J369" s="180"/>
      <c r="K369" s="180"/>
      <c r="L369" s="180"/>
      <c r="M369" s="180"/>
      <c r="N369" s="180"/>
      <c r="O369" s="180"/>
      <c r="P369" s="180"/>
      <c r="AS369" s="180"/>
      <c r="AT369" s="180"/>
      <c r="AU369" s="180"/>
      <c r="AV369" s="180"/>
      <c r="AW369" s="180"/>
      <c r="AX369" s="180"/>
      <c r="AY369" s="180"/>
      <c r="AZ369" s="180"/>
      <c r="BA369" s="180"/>
      <c r="BB369" s="180"/>
      <c r="BC369" s="180"/>
      <c r="BD369" s="180"/>
      <c r="BE369" s="180"/>
      <c r="BF369" s="180"/>
      <c r="BG369" s="180"/>
      <c r="BH369" s="180"/>
      <c r="BI369" s="180"/>
      <c r="BJ369" s="180"/>
      <c r="BK369" s="180"/>
      <c r="BL369" s="180"/>
      <c r="BM369" s="180"/>
      <c r="BN369" s="180"/>
      <c r="BO369" s="180"/>
      <c r="BP369" s="180"/>
      <c r="BQ369" s="180"/>
      <c r="BR369" s="180"/>
      <c r="BS369" s="180"/>
      <c r="BT369" s="180"/>
      <c r="BU369" s="180"/>
      <c r="BV369" s="180"/>
      <c r="BW369" s="180"/>
      <c r="BX369" s="180"/>
      <c r="BY369" s="180"/>
      <c r="BZ369" s="180"/>
      <c r="CA369" s="180"/>
      <c r="CB369" s="180"/>
      <c r="CC369" s="180"/>
      <c r="CD369" s="180"/>
      <c r="CE369" s="180"/>
      <c r="CF369" s="180"/>
      <c r="CG369" s="180"/>
      <c r="CH369" s="180"/>
      <c r="CI369" s="180"/>
      <c r="CJ369" s="180"/>
      <c r="CK369" s="180"/>
      <c r="CL369" s="180"/>
      <c r="CM369" s="180"/>
      <c r="CN369" s="180"/>
      <c r="CO369" s="180"/>
      <c r="CP369" s="180"/>
      <c r="CQ369" s="180"/>
      <c r="CR369" s="180"/>
      <c r="CS369" s="180"/>
      <c r="CT369" s="180"/>
      <c r="CU369" s="180"/>
      <c r="CV369" s="180"/>
      <c r="CW369" s="180"/>
      <c r="CX369" s="180"/>
      <c r="CY369" s="180"/>
      <c r="CZ369" s="180"/>
    </row>
    <row r="370" spans="1:104" x14ac:dyDescent="0.45">
      <c r="A370" s="180" t="s">
        <v>3</v>
      </c>
      <c r="B370" s="73">
        <v>2</v>
      </c>
      <c r="C370" s="73"/>
      <c r="D370" s="180" t="s">
        <v>344</v>
      </c>
      <c r="E370" s="39">
        <v>43579</v>
      </c>
      <c r="F370" s="179">
        <v>0.79166666666666663</v>
      </c>
      <c r="G370" s="180">
        <v>1</v>
      </c>
      <c r="H370" s="180"/>
      <c r="I370" s="180"/>
      <c r="J370" s="180"/>
      <c r="K370" s="180"/>
      <c r="L370" s="180"/>
      <c r="M370" s="180"/>
      <c r="N370" s="180"/>
      <c r="O370" s="180"/>
      <c r="P370" s="180"/>
      <c r="AS370" s="180"/>
      <c r="AT370" s="180"/>
      <c r="AU370" s="180"/>
      <c r="AV370" s="180"/>
      <c r="AW370" s="180"/>
      <c r="AX370" s="180"/>
      <c r="AY370" s="180"/>
      <c r="AZ370" s="180"/>
      <c r="BA370" s="180"/>
      <c r="BB370" s="180"/>
      <c r="BC370" s="180"/>
      <c r="BD370" s="180"/>
      <c r="BE370" s="180"/>
      <c r="BF370" s="180"/>
      <c r="BG370" s="180"/>
      <c r="BH370" s="180"/>
      <c r="BI370" s="180"/>
      <c r="BJ370" s="180"/>
      <c r="BK370" s="180"/>
      <c r="BL370" s="180"/>
      <c r="BM370" s="180"/>
      <c r="BN370" s="180"/>
      <c r="BO370" s="180"/>
      <c r="BP370" s="180"/>
      <c r="BQ370" s="180"/>
      <c r="BR370" s="180"/>
      <c r="BS370" s="180"/>
      <c r="BT370" s="180"/>
      <c r="BU370" s="180"/>
      <c r="BV370" s="180"/>
      <c r="BW370" s="180"/>
      <c r="BX370" s="180"/>
      <c r="BY370" s="180"/>
      <c r="BZ370" s="180"/>
      <c r="CA370" s="180"/>
      <c r="CB370" s="180"/>
      <c r="CC370" s="180"/>
      <c r="CD370" s="180"/>
      <c r="CE370" s="180"/>
      <c r="CF370" s="180"/>
      <c r="CG370" s="180"/>
      <c r="CH370" s="180"/>
      <c r="CI370" s="180"/>
      <c r="CJ370" s="180"/>
      <c r="CK370" s="180"/>
      <c r="CL370" s="180"/>
      <c r="CM370" s="180"/>
      <c r="CN370" s="180"/>
      <c r="CO370" s="180"/>
      <c r="CP370" s="180"/>
      <c r="CQ370" s="180"/>
      <c r="CR370" s="180"/>
      <c r="CS370" s="180"/>
      <c r="CT370" s="180"/>
      <c r="CU370" s="180"/>
      <c r="CV370" s="180"/>
      <c r="CW370" s="180"/>
      <c r="CX370" s="180"/>
      <c r="CY370" s="180"/>
      <c r="CZ370" s="180"/>
    </row>
    <row r="371" spans="1:104" x14ac:dyDescent="0.45">
      <c r="A371" s="180" t="s">
        <v>3</v>
      </c>
      <c r="B371" s="73">
        <v>4</v>
      </c>
      <c r="C371" s="73">
        <v>4</v>
      </c>
      <c r="D371" s="180" t="s">
        <v>271</v>
      </c>
      <c r="E371" s="39">
        <v>43579</v>
      </c>
      <c r="F371" s="179">
        <v>0.55208333333333337</v>
      </c>
      <c r="G371" s="180">
        <v>1</v>
      </c>
      <c r="H371" s="180"/>
      <c r="I371" s="180"/>
      <c r="J371" s="180"/>
      <c r="K371" s="180"/>
      <c r="L371" s="180"/>
      <c r="M371" s="180"/>
      <c r="N371" s="180"/>
      <c r="O371" s="180"/>
      <c r="P371" s="180"/>
      <c r="AS371" s="180"/>
      <c r="AT371" s="180"/>
      <c r="AU371" s="180"/>
      <c r="AV371" s="180"/>
      <c r="AW371" s="180"/>
      <c r="AX371" s="180"/>
      <c r="AY371" s="180"/>
      <c r="AZ371" s="180"/>
      <c r="BA371" s="180"/>
      <c r="BB371" s="180"/>
      <c r="BC371" s="180"/>
      <c r="BD371" s="180"/>
      <c r="BE371" s="180"/>
      <c r="BF371" s="180"/>
      <c r="BG371" s="180"/>
      <c r="BH371" s="180"/>
      <c r="BI371" s="180"/>
      <c r="BJ371" s="180"/>
      <c r="BK371" s="180"/>
      <c r="BL371" s="180"/>
      <c r="BM371" s="180"/>
      <c r="BN371" s="180"/>
      <c r="BO371" s="180"/>
      <c r="BP371" s="180"/>
      <c r="BQ371" s="180"/>
      <c r="BR371" s="180"/>
      <c r="BS371" s="180"/>
      <c r="BT371" s="180"/>
      <c r="BU371" s="180"/>
      <c r="BV371" s="180"/>
      <c r="BW371" s="180"/>
      <c r="BX371" s="180"/>
      <c r="BY371" s="180"/>
      <c r="BZ371" s="180"/>
      <c r="CA371" s="180"/>
      <c r="CB371" s="180"/>
      <c r="CC371" s="180"/>
      <c r="CD371" s="180"/>
      <c r="CE371" s="180"/>
      <c r="CF371" s="180"/>
      <c r="CG371" s="180"/>
      <c r="CH371" s="180"/>
      <c r="CI371" s="180"/>
      <c r="CJ371" s="180"/>
      <c r="CK371" s="180"/>
      <c r="CL371" s="180"/>
      <c r="CM371" s="180"/>
      <c r="CN371" s="180"/>
      <c r="CO371" s="180"/>
      <c r="CP371" s="180"/>
      <c r="CQ371" s="180"/>
      <c r="CR371" s="180"/>
      <c r="CS371" s="180"/>
      <c r="CT371" s="180"/>
      <c r="CU371" s="180"/>
      <c r="CV371" s="180"/>
      <c r="CW371" s="180"/>
      <c r="CX371" s="180"/>
      <c r="CY371" s="180"/>
      <c r="CZ371" s="180"/>
    </row>
    <row r="372" spans="1:104" x14ac:dyDescent="0.45">
      <c r="A372" s="180" t="s">
        <v>3</v>
      </c>
      <c r="B372" s="73">
        <v>1</v>
      </c>
      <c r="C372" s="73">
        <v>1</v>
      </c>
      <c r="D372" s="180" t="s">
        <v>301</v>
      </c>
      <c r="E372" s="39">
        <v>43579</v>
      </c>
      <c r="F372" s="179">
        <v>0.66666666666666663</v>
      </c>
      <c r="G372" s="180">
        <v>1</v>
      </c>
      <c r="H372" s="180" t="s">
        <v>416</v>
      </c>
      <c r="I372" s="180"/>
      <c r="J372" s="180"/>
      <c r="K372" s="180"/>
      <c r="L372" s="180"/>
      <c r="M372" s="180"/>
      <c r="N372" s="180"/>
      <c r="O372" s="180"/>
      <c r="P372" s="180"/>
      <c r="AS372" s="180"/>
      <c r="AT372" s="180"/>
      <c r="AU372" s="180"/>
      <c r="AV372" s="180"/>
      <c r="AW372" s="180"/>
      <c r="AX372" s="180"/>
      <c r="AY372" s="180"/>
      <c r="AZ372" s="180"/>
      <c r="BA372" s="180"/>
      <c r="BB372" s="180"/>
      <c r="BC372" s="180"/>
      <c r="BD372" s="180"/>
      <c r="BE372" s="180"/>
      <c r="BF372" s="180"/>
      <c r="BG372" s="180"/>
      <c r="BH372" s="180"/>
      <c r="BI372" s="180"/>
      <c r="BJ372" s="180"/>
      <c r="BK372" s="180"/>
      <c r="BL372" s="180"/>
      <c r="BM372" s="180"/>
      <c r="BN372" s="180"/>
      <c r="BO372" s="180"/>
      <c r="BP372" s="180"/>
      <c r="BQ372" s="180"/>
      <c r="BR372" s="180"/>
      <c r="BS372" s="180"/>
      <c r="BT372" s="180"/>
      <c r="BU372" s="180"/>
      <c r="BV372" s="180"/>
      <c r="BW372" s="180"/>
      <c r="BX372" s="180"/>
      <c r="BY372" s="180"/>
      <c r="BZ372" s="180"/>
      <c r="CA372" s="180"/>
      <c r="CB372" s="180"/>
      <c r="CC372" s="180"/>
      <c r="CD372" s="180"/>
      <c r="CE372" s="180"/>
      <c r="CF372" s="180"/>
      <c r="CG372" s="180"/>
      <c r="CH372" s="180"/>
      <c r="CI372" s="180"/>
      <c r="CJ372" s="180"/>
      <c r="CK372" s="180"/>
      <c r="CL372" s="180"/>
      <c r="CM372" s="180"/>
      <c r="CN372" s="180"/>
      <c r="CO372" s="180"/>
      <c r="CP372" s="180"/>
      <c r="CQ372" s="180"/>
      <c r="CR372" s="180"/>
      <c r="CS372" s="180"/>
      <c r="CT372" s="180"/>
      <c r="CU372" s="180"/>
      <c r="CV372" s="180"/>
      <c r="CW372" s="180"/>
      <c r="CX372" s="180"/>
      <c r="CY372" s="180"/>
      <c r="CZ372" s="180"/>
    </row>
    <row r="373" spans="1:104" x14ac:dyDescent="0.45">
      <c r="A373" s="180" t="s">
        <v>3</v>
      </c>
      <c r="B373" s="73">
        <v>7</v>
      </c>
      <c r="C373" s="73">
        <v>7</v>
      </c>
      <c r="D373" s="180" t="s">
        <v>296</v>
      </c>
      <c r="E373" s="39">
        <v>43580</v>
      </c>
      <c r="F373" s="179">
        <v>0.4291666666666667</v>
      </c>
      <c r="G373" s="180">
        <v>2</v>
      </c>
      <c r="H373" s="180"/>
      <c r="I373" s="180"/>
      <c r="J373" s="180"/>
      <c r="K373" s="180"/>
      <c r="L373" s="180"/>
      <c r="M373" s="180"/>
      <c r="N373" s="180"/>
      <c r="O373" s="180"/>
      <c r="P373" s="180"/>
      <c r="AS373" s="180"/>
      <c r="AT373" s="180"/>
      <c r="AU373" s="180"/>
      <c r="AV373" s="180"/>
      <c r="AW373" s="180"/>
      <c r="AX373" s="180"/>
      <c r="AY373" s="180"/>
      <c r="AZ373" s="180"/>
      <c r="BA373" s="180"/>
      <c r="BB373" s="180"/>
      <c r="BC373" s="180"/>
      <c r="BD373" s="180"/>
      <c r="BE373" s="180"/>
      <c r="BF373" s="180"/>
      <c r="BG373" s="180"/>
      <c r="BH373" s="180"/>
      <c r="BI373" s="180"/>
      <c r="BJ373" s="180"/>
      <c r="BK373" s="180"/>
      <c r="BL373" s="180"/>
      <c r="BM373" s="180"/>
      <c r="BN373" s="180"/>
      <c r="BO373" s="180"/>
      <c r="BP373" s="180"/>
      <c r="BQ373" s="180"/>
      <c r="BR373" s="180"/>
      <c r="BS373" s="180"/>
      <c r="BT373" s="180"/>
      <c r="BU373" s="180"/>
      <c r="BV373" s="180"/>
      <c r="BW373" s="180"/>
      <c r="BX373" s="180"/>
      <c r="BY373" s="180"/>
      <c r="BZ373" s="180"/>
      <c r="CA373" s="180"/>
      <c r="CB373" s="180"/>
      <c r="CC373" s="180"/>
      <c r="CD373" s="180"/>
      <c r="CE373" s="180"/>
      <c r="CF373" s="180"/>
      <c r="CG373" s="180"/>
      <c r="CH373" s="180"/>
      <c r="CI373" s="180"/>
      <c r="CJ373" s="180"/>
      <c r="CK373" s="180"/>
      <c r="CL373" s="180"/>
      <c r="CM373" s="180"/>
      <c r="CN373" s="180"/>
      <c r="CO373" s="180"/>
      <c r="CP373" s="180"/>
      <c r="CQ373" s="180"/>
      <c r="CR373" s="180"/>
      <c r="CS373" s="180"/>
      <c r="CT373" s="180"/>
      <c r="CU373" s="180"/>
      <c r="CV373" s="180"/>
      <c r="CW373" s="180"/>
      <c r="CX373" s="180"/>
      <c r="CY373" s="180"/>
      <c r="CZ373" s="180"/>
    </row>
    <row r="374" spans="1:104" x14ac:dyDescent="0.45">
      <c r="A374" s="180" t="s">
        <v>3</v>
      </c>
      <c r="B374" s="73">
        <v>1</v>
      </c>
      <c r="C374" s="73">
        <v>1</v>
      </c>
      <c r="D374" s="180" t="s">
        <v>417</v>
      </c>
      <c r="E374" s="39">
        <v>43581</v>
      </c>
      <c r="F374" s="179">
        <v>0.45624999999999999</v>
      </c>
      <c r="G374" s="180">
        <v>1</v>
      </c>
      <c r="H374" s="180" t="s">
        <v>418</v>
      </c>
      <c r="I374" s="180"/>
      <c r="J374" s="180"/>
      <c r="K374" s="180"/>
      <c r="L374" s="180"/>
      <c r="M374" s="180"/>
      <c r="N374" s="180"/>
      <c r="O374" s="180"/>
      <c r="P374" s="180"/>
      <c r="AS374" s="180"/>
      <c r="AT374" s="180"/>
      <c r="AU374" s="180"/>
      <c r="AV374" s="180"/>
      <c r="AW374" s="180"/>
      <c r="AX374" s="180"/>
      <c r="AY374" s="180"/>
      <c r="AZ374" s="180"/>
      <c r="BA374" s="180"/>
      <c r="BB374" s="180"/>
      <c r="BC374" s="180"/>
      <c r="BD374" s="180"/>
      <c r="BE374" s="180"/>
      <c r="BF374" s="180"/>
      <c r="BG374" s="180"/>
      <c r="BH374" s="180"/>
      <c r="BI374" s="180"/>
      <c r="BJ374" s="180"/>
      <c r="BK374" s="180"/>
      <c r="BL374" s="180"/>
      <c r="BM374" s="180"/>
      <c r="BN374" s="180"/>
      <c r="BO374" s="180"/>
      <c r="BP374" s="180"/>
      <c r="BQ374" s="180"/>
      <c r="BR374" s="180"/>
      <c r="BS374" s="180"/>
      <c r="BT374" s="180"/>
      <c r="BU374" s="180"/>
      <c r="BV374" s="180"/>
      <c r="BW374" s="180"/>
      <c r="BX374" s="180"/>
      <c r="BY374" s="180"/>
      <c r="BZ374" s="180"/>
      <c r="CA374" s="180"/>
      <c r="CB374" s="180"/>
      <c r="CC374" s="180"/>
      <c r="CD374" s="180"/>
      <c r="CE374" s="180"/>
      <c r="CF374" s="180"/>
      <c r="CG374" s="180"/>
      <c r="CH374" s="180"/>
      <c r="CI374" s="180"/>
      <c r="CJ374" s="180"/>
      <c r="CK374" s="180"/>
      <c r="CL374" s="180"/>
      <c r="CM374" s="180"/>
      <c r="CN374" s="180"/>
      <c r="CO374" s="180"/>
      <c r="CP374" s="180"/>
      <c r="CQ374" s="180"/>
      <c r="CR374" s="180"/>
      <c r="CS374" s="180"/>
      <c r="CT374" s="180"/>
      <c r="CU374" s="180"/>
      <c r="CV374" s="180"/>
      <c r="CW374" s="180"/>
      <c r="CX374" s="180"/>
      <c r="CY374" s="180"/>
      <c r="CZ374" s="180"/>
    </row>
    <row r="375" spans="1:104" x14ac:dyDescent="0.45">
      <c r="A375" s="180" t="s">
        <v>3</v>
      </c>
      <c r="B375" s="73">
        <v>1</v>
      </c>
      <c r="C375" s="73">
        <v>1</v>
      </c>
      <c r="D375" s="180" t="s">
        <v>414</v>
      </c>
      <c r="E375" s="39">
        <v>43581</v>
      </c>
      <c r="F375" s="179">
        <v>0.69652777777777775</v>
      </c>
      <c r="G375" s="180">
        <v>18</v>
      </c>
      <c r="H375" s="180"/>
      <c r="I375" s="180"/>
      <c r="J375" s="180"/>
      <c r="K375" s="180"/>
      <c r="L375" s="180"/>
      <c r="M375" s="180"/>
      <c r="N375" s="180"/>
      <c r="O375" s="180"/>
      <c r="P375" s="180"/>
      <c r="AS375" s="180"/>
      <c r="AT375" s="180"/>
      <c r="AU375" s="180"/>
      <c r="AV375" s="180"/>
      <c r="AW375" s="180"/>
      <c r="AX375" s="180"/>
      <c r="AY375" s="180"/>
      <c r="AZ375" s="180"/>
      <c r="BA375" s="180"/>
      <c r="BB375" s="180"/>
      <c r="BC375" s="180"/>
      <c r="BD375" s="180"/>
      <c r="BE375" s="180"/>
      <c r="BF375" s="180"/>
      <c r="BG375" s="180"/>
      <c r="BH375" s="180"/>
      <c r="BI375" s="180"/>
      <c r="BJ375" s="180"/>
      <c r="BK375" s="180"/>
      <c r="BL375" s="180"/>
      <c r="BM375" s="180"/>
      <c r="BN375" s="180"/>
      <c r="BO375" s="180"/>
      <c r="BP375" s="180"/>
      <c r="BQ375" s="180"/>
      <c r="BR375" s="180"/>
      <c r="BS375" s="180"/>
      <c r="BT375" s="180"/>
      <c r="BU375" s="180"/>
      <c r="BV375" s="180"/>
      <c r="BW375" s="180"/>
      <c r="BX375" s="180"/>
      <c r="BY375" s="180"/>
      <c r="BZ375" s="180"/>
      <c r="CA375" s="180"/>
      <c r="CB375" s="180"/>
      <c r="CC375" s="180"/>
      <c r="CD375" s="180"/>
      <c r="CE375" s="180"/>
      <c r="CF375" s="180"/>
      <c r="CG375" s="180"/>
      <c r="CH375" s="180"/>
      <c r="CI375" s="180"/>
      <c r="CJ375" s="180"/>
      <c r="CK375" s="180"/>
      <c r="CL375" s="180"/>
      <c r="CM375" s="180"/>
      <c r="CN375" s="180"/>
      <c r="CO375" s="180"/>
      <c r="CP375" s="180"/>
      <c r="CQ375" s="180"/>
      <c r="CR375" s="180"/>
      <c r="CS375" s="180"/>
      <c r="CT375" s="180"/>
      <c r="CU375" s="180"/>
      <c r="CV375" s="180"/>
      <c r="CW375" s="180"/>
      <c r="CX375" s="180"/>
      <c r="CY375" s="180"/>
      <c r="CZ375" s="180"/>
    </row>
    <row r="376" spans="1:104" x14ac:dyDescent="0.45">
      <c r="A376" s="180" t="s">
        <v>3</v>
      </c>
      <c r="B376" s="73">
        <v>1</v>
      </c>
      <c r="C376" s="73">
        <v>1</v>
      </c>
      <c r="D376" s="180" t="s">
        <v>299</v>
      </c>
      <c r="E376" s="39">
        <v>43581</v>
      </c>
      <c r="F376" s="179">
        <v>0.33333333333333331</v>
      </c>
      <c r="G376" s="180">
        <v>1</v>
      </c>
      <c r="H376" s="180" t="s">
        <v>419</v>
      </c>
      <c r="I376" s="180"/>
      <c r="J376" s="180"/>
      <c r="K376" s="180"/>
      <c r="L376" s="180"/>
      <c r="M376" s="180"/>
      <c r="N376" s="180"/>
      <c r="O376" s="180"/>
      <c r="P376" s="180"/>
      <c r="AS376" s="180"/>
      <c r="AT376" s="180"/>
      <c r="AU376" s="180"/>
      <c r="AV376" s="180"/>
      <c r="AW376" s="180"/>
      <c r="AX376" s="180"/>
      <c r="AY376" s="180"/>
      <c r="AZ376" s="180"/>
      <c r="BA376" s="180"/>
      <c r="BB376" s="180"/>
      <c r="BC376" s="180"/>
      <c r="BD376" s="180"/>
      <c r="BE376" s="180"/>
      <c r="BF376" s="180"/>
      <c r="BG376" s="180"/>
      <c r="BH376" s="180"/>
      <c r="BI376" s="180"/>
      <c r="BJ376" s="180"/>
      <c r="BK376" s="180"/>
      <c r="BL376" s="180"/>
      <c r="BM376" s="180"/>
      <c r="BN376" s="180"/>
      <c r="BO376" s="180"/>
      <c r="BP376" s="180"/>
      <c r="BQ376" s="180"/>
      <c r="BR376" s="180"/>
      <c r="BS376" s="180"/>
      <c r="BT376" s="180"/>
      <c r="BU376" s="180"/>
      <c r="BV376" s="180"/>
      <c r="BW376" s="180"/>
      <c r="BX376" s="180"/>
      <c r="BY376" s="180"/>
      <c r="BZ376" s="180"/>
      <c r="CA376" s="180"/>
      <c r="CB376" s="180"/>
      <c r="CC376" s="180"/>
      <c r="CD376" s="180"/>
      <c r="CE376" s="180"/>
      <c r="CF376" s="180"/>
      <c r="CG376" s="180"/>
      <c r="CH376" s="180"/>
      <c r="CI376" s="180"/>
      <c r="CJ376" s="180"/>
      <c r="CK376" s="180"/>
      <c r="CL376" s="180"/>
      <c r="CM376" s="180"/>
      <c r="CN376" s="180"/>
      <c r="CO376" s="180"/>
      <c r="CP376" s="180"/>
      <c r="CQ376" s="180"/>
      <c r="CR376" s="180"/>
      <c r="CS376" s="180"/>
      <c r="CT376" s="180"/>
      <c r="CU376" s="180"/>
      <c r="CV376" s="180"/>
      <c r="CW376" s="180"/>
      <c r="CX376" s="180"/>
      <c r="CY376" s="180"/>
      <c r="CZ376" s="180"/>
    </row>
    <row r="377" spans="1:104" x14ac:dyDescent="0.45">
      <c r="A377" s="180" t="s">
        <v>3</v>
      </c>
      <c r="B377" s="73">
        <v>1</v>
      </c>
      <c r="C377" s="73"/>
      <c r="D377" s="180" t="s">
        <v>128</v>
      </c>
      <c r="E377" s="39">
        <v>43582</v>
      </c>
      <c r="F377" s="179">
        <v>0.45833333333333331</v>
      </c>
      <c r="G377" s="180">
        <v>4</v>
      </c>
      <c r="H377" s="180" t="s">
        <v>420</v>
      </c>
      <c r="I377" s="180"/>
      <c r="J377" s="180"/>
      <c r="K377" s="180"/>
      <c r="L377" s="180"/>
      <c r="M377" s="180"/>
      <c r="N377" s="180"/>
      <c r="O377" s="180"/>
      <c r="P377" s="180"/>
      <c r="AS377" s="180"/>
      <c r="AT377" s="180"/>
      <c r="AU377" s="180"/>
      <c r="AV377" s="180"/>
      <c r="AW377" s="180"/>
      <c r="AX377" s="180"/>
      <c r="AY377" s="180"/>
      <c r="AZ377" s="180"/>
      <c r="BA377" s="180"/>
      <c r="BB377" s="180"/>
      <c r="BC377" s="180"/>
      <c r="BD377" s="180"/>
      <c r="BE377" s="180"/>
      <c r="BF377" s="180"/>
      <c r="BG377" s="180"/>
      <c r="BH377" s="180"/>
      <c r="BI377" s="180"/>
      <c r="BJ377" s="180"/>
      <c r="BK377" s="180"/>
      <c r="BL377" s="180"/>
      <c r="BM377" s="180"/>
      <c r="BN377" s="180"/>
      <c r="BO377" s="180"/>
      <c r="BP377" s="180"/>
      <c r="BQ377" s="180"/>
      <c r="BR377" s="180"/>
      <c r="BS377" s="180"/>
      <c r="BT377" s="180"/>
      <c r="BU377" s="180"/>
      <c r="BV377" s="180"/>
      <c r="BW377" s="180"/>
      <c r="BX377" s="180"/>
      <c r="BY377" s="180"/>
      <c r="BZ377" s="180"/>
      <c r="CA377" s="180"/>
      <c r="CB377" s="180"/>
      <c r="CC377" s="180"/>
      <c r="CD377" s="180"/>
      <c r="CE377" s="180"/>
      <c r="CF377" s="180"/>
      <c r="CG377" s="180"/>
      <c r="CH377" s="180"/>
      <c r="CI377" s="180"/>
      <c r="CJ377" s="180"/>
      <c r="CK377" s="180"/>
      <c r="CL377" s="180"/>
      <c r="CM377" s="180"/>
      <c r="CN377" s="180"/>
      <c r="CO377" s="180"/>
      <c r="CP377" s="180"/>
      <c r="CQ377" s="180"/>
      <c r="CR377" s="180"/>
      <c r="CS377" s="180"/>
      <c r="CT377" s="180"/>
      <c r="CU377" s="180"/>
      <c r="CV377" s="180"/>
      <c r="CW377" s="180"/>
      <c r="CX377" s="180"/>
      <c r="CY377" s="180"/>
      <c r="CZ377" s="180"/>
    </row>
    <row r="378" spans="1:104" x14ac:dyDescent="0.45">
      <c r="A378" s="180" t="s">
        <v>3</v>
      </c>
      <c r="B378" s="73">
        <v>1</v>
      </c>
      <c r="C378" s="73"/>
      <c r="D378" s="180" t="s">
        <v>128</v>
      </c>
      <c r="E378" s="39">
        <v>43582</v>
      </c>
      <c r="F378" s="179">
        <v>0.45833333333333331</v>
      </c>
      <c r="G378" s="180">
        <v>4</v>
      </c>
      <c r="H378" s="180" t="s">
        <v>420</v>
      </c>
      <c r="I378" s="180"/>
      <c r="J378" s="180"/>
      <c r="K378" s="180"/>
      <c r="L378" s="180"/>
      <c r="M378" s="180"/>
      <c r="N378" s="180"/>
      <c r="O378" s="180"/>
      <c r="P378" s="180"/>
      <c r="AS378" s="180"/>
      <c r="AT378" s="180"/>
      <c r="AU378" s="180"/>
      <c r="AV378" s="180"/>
      <c r="AW378" s="180"/>
      <c r="AX378" s="180"/>
      <c r="AY378" s="180"/>
      <c r="AZ378" s="180"/>
      <c r="BA378" s="180"/>
      <c r="BB378" s="180"/>
      <c r="BC378" s="180"/>
      <c r="BD378" s="180"/>
      <c r="BE378" s="180"/>
      <c r="BF378" s="180"/>
      <c r="BG378" s="180"/>
      <c r="BH378" s="180"/>
      <c r="BI378" s="180"/>
      <c r="BJ378" s="180"/>
      <c r="BK378" s="180"/>
      <c r="BL378" s="180"/>
      <c r="BM378" s="180"/>
      <c r="BN378" s="180"/>
      <c r="BO378" s="180"/>
      <c r="BP378" s="180"/>
      <c r="BQ378" s="180"/>
      <c r="BR378" s="180"/>
      <c r="BS378" s="180"/>
      <c r="BT378" s="180"/>
      <c r="BU378" s="180"/>
      <c r="BV378" s="180"/>
      <c r="BW378" s="180"/>
      <c r="BX378" s="180"/>
      <c r="BY378" s="180"/>
      <c r="BZ378" s="180"/>
      <c r="CA378" s="180"/>
      <c r="CB378" s="180"/>
      <c r="CC378" s="180"/>
      <c r="CD378" s="180"/>
      <c r="CE378" s="180"/>
      <c r="CF378" s="180"/>
      <c r="CG378" s="180"/>
      <c r="CH378" s="180"/>
      <c r="CI378" s="180"/>
      <c r="CJ378" s="180"/>
      <c r="CK378" s="180"/>
      <c r="CL378" s="180"/>
      <c r="CM378" s="180"/>
      <c r="CN378" s="180"/>
      <c r="CO378" s="180"/>
      <c r="CP378" s="180"/>
      <c r="CQ378" s="180"/>
      <c r="CR378" s="180"/>
      <c r="CS378" s="180"/>
      <c r="CT378" s="180"/>
      <c r="CU378" s="180"/>
      <c r="CV378" s="180"/>
      <c r="CW378" s="180"/>
      <c r="CX378" s="180"/>
      <c r="CY378" s="180"/>
      <c r="CZ378" s="180"/>
    </row>
    <row r="379" spans="1:104" x14ac:dyDescent="0.45">
      <c r="A379" s="180" t="s">
        <v>3</v>
      </c>
      <c r="B379" s="73">
        <v>8</v>
      </c>
      <c r="C379" s="73">
        <v>8</v>
      </c>
      <c r="D379" s="180" t="s">
        <v>296</v>
      </c>
      <c r="E379" s="39">
        <v>43582</v>
      </c>
      <c r="F379" s="179">
        <v>0.65625</v>
      </c>
      <c r="G379" s="180">
        <v>1</v>
      </c>
      <c r="H379" s="180"/>
      <c r="I379" s="180"/>
      <c r="J379" s="180"/>
      <c r="K379" s="180"/>
      <c r="L379" s="180"/>
      <c r="M379" s="180"/>
      <c r="N379" s="180"/>
      <c r="O379" s="180"/>
      <c r="P379" s="180"/>
      <c r="AS379" s="180"/>
      <c r="AT379" s="180"/>
      <c r="AU379" s="180"/>
      <c r="AV379" s="180"/>
      <c r="AW379" s="180"/>
      <c r="AX379" s="180"/>
      <c r="AY379" s="180"/>
      <c r="AZ379" s="180"/>
      <c r="BA379" s="180"/>
      <c r="BB379" s="180"/>
      <c r="BC379" s="180"/>
      <c r="BD379" s="180"/>
      <c r="BE379" s="180"/>
      <c r="BF379" s="180"/>
      <c r="BG379" s="180"/>
      <c r="BH379" s="180"/>
      <c r="BI379" s="180"/>
      <c r="BJ379" s="180"/>
      <c r="BK379" s="180"/>
      <c r="BL379" s="180"/>
      <c r="BM379" s="180"/>
      <c r="BN379" s="180"/>
      <c r="BO379" s="180"/>
      <c r="BP379" s="180"/>
      <c r="BQ379" s="180"/>
      <c r="BR379" s="180"/>
      <c r="BS379" s="180"/>
      <c r="BT379" s="180"/>
      <c r="BU379" s="180"/>
      <c r="BV379" s="180"/>
      <c r="BW379" s="180"/>
      <c r="BX379" s="180"/>
      <c r="BY379" s="180"/>
      <c r="BZ379" s="180"/>
      <c r="CA379" s="180"/>
      <c r="CB379" s="180"/>
      <c r="CC379" s="180"/>
      <c r="CD379" s="180"/>
      <c r="CE379" s="180"/>
      <c r="CF379" s="180"/>
      <c r="CG379" s="180"/>
      <c r="CH379" s="180"/>
      <c r="CI379" s="180"/>
      <c r="CJ379" s="180"/>
      <c r="CK379" s="180"/>
      <c r="CL379" s="180"/>
      <c r="CM379" s="180"/>
      <c r="CN379" s="180"/>
      <c r="CO379" s="180"/>
      <c r="CP379" s="180"/>
      <c r="CQ379" s="180"/>
      <c r="CR379" s="180"/>
      <c r="CS379" s="180"/>
      <c r="CT379" s="180"/>
      <c r="CU379" s="180"/>
      <c r="CV379" s="180"/>
      <c r="CW379" s="180"/>
      <c r="CX379" s="180"/>
      <c r="CY379" s="180"/>
      <c r="CZ379" s="180"/>
    </row>
    <row r="380" spans="1:104" x14ac:dyDescent="0.45">
      <c r="A380" s="180" t="s">
        <v>3</v>
      </c>
      <c r="B380" s="73">
        <v>2</v>
      </c>
      <c r="C380" s="73"/>
      <c r="D380" s="180" t="s">
        <v>296</v>
      </c>
      <c r="E380" s="39">
        <v>43582</v>
      </c>
      <c r="F380" s="179">
        <v>0.36805555555555558</v>
      </c>
      <c r="G380" s="180">
        <v>1</v>
      </c>
      <c r="H380" s="180"/>
      <c r="I380" s="180"/>
      <c r="J380" s="180"/>
      <c r="K380" s="180"/>
      <c r="L380" s="180"/>
      <c r="M380" s="180"/>
      <c r="N380" s="180"/>
      <c r="O380" s="180"/>
      <c r="P380" s="180"/>
      <c r="AS380" s="180"/>
      <c r="AT380" s="180"/>
      <c r="AU380" s="180"/>
      <c r="AV380" s="180"/>
      <c r="AW380" s="180"/>
      <c r="AX380" s="180"/>
      <c r="AY380" s="180"/>
      <c r="AZ380" s="180"/>
      <c r="BA380" s="180"/>
      <c r="BB380" s="180"/>
      <c r="BC380" s="180"/>
      <c r="BD380" s="180"/>
      <c r="BE380" s="180"/>
      <c r="BF380" s="180"/>
      <c r="BG380" s="180"/>
      <c r="BH380" s="180"/>
      <c r="BI380" s="180"/>
      <c r="BJ380" s="180"/>
      <c r="BK380" s="180"/>
      <c r="BL380" s="180"/>
      <c r="BM380" s="180"/>
      <c r="BN380" s="180"/>
      <c r="BO380" s="180"/>
      <c r="BP380" s="180"/>
      <c r="BQ380" s="180"/>
      <c r="BR380" s="180"/>
      <c r="BS380" s="180"/>
      <c r="BT380" s="180"/>
      <c r="BU380" s="180"/>
      <c r="BV380" s="180"/>
      <c r="BW380" s="180"/>
      <c r="BX380" s="180"/>
      <c r="BY380" s="180"/>
      <c r="BZ380" s="180"/>
      <c r="CA380" s="180"/>
      <c r="CB380" s="180"/>
      <c r="CC380" s="180"/>
      <c r="CD380" s="180"/>
      <c r="CE380" s="180"/>
      <c r="CF380" s="180"/>
      <c r="CG380" s="180"/>
      <c r="CH380" s="180"/>
      <c r="CI380" s="180"/>
      <c r="CJ380" s="180"/>
      <c r="CK380" s="180"/>
      <c r="CL380" s="180"/>
      <c r="CM380" s="180"/>
      <c r="CN380" s="180"/>
      <c r="CO380" s="180"/>
      <c r="CP380" s="180"/>
      <c r="CQ380" s="180"/>
      <c r="CR380" s="180"/>
      <c r="CS380" s="180"/>
      <c r="CT380" s="180"/>
      <c r="CU380" s="180"/>
      <c r="CV380" s="180"/>
      <c r="CW380" s="180"/>
      <c r="CX380" s="180"/>
      <c r="CY380" s="180"/>
      <c r="CZ380" s="180"/>
    </row>
    <row r="381" spans="1:104" x14ac:dyDescent="0.45">
      <c r="A381" s="180" t="s">
        <v>3</v>
      </c>
      <c r="B381" s="73">
        <v>1</v>
      </c>
      <c r="C381" s="73"/>
      <c r="D381" s="180" t="s">
        <v>296</v>
      </c>
      <c r="E381" s="39">
        <v>43582</v>
      </c>
      <c r="F381" s="179">
        <v>0.3125</v>
      </c>
      <c r="G381" s="180">
        <v>1</v>
      </c>
      <c r="H381" s="180"/>
      <c r="I381" s="180"/>
      <c r="J381" s="180"/>
      <c r="K381" s="180"/>
      <c r="L381" s="180"/>
      <c r="M381" s="180"/>
      <c r="N381" s="180"/>
      <c r="O381" s="180"/>
      <c r="P381" s="180"/>
      <c r="AS381" s="180"/>
      <c r="AT381" s="180"/>
      <c r="AU381" s="180"/>
      <c r="AV381" s="180"/>
      <c r="AW381" s="180"/>
      <c r="AX381" s="180"/>
      <c r="AY381" s="180"/>
      <c r="AZ381" s="180"/>
      <c r="BA381" s="180"/>
      <c r="BB381" s="180"/>
      <c r="BC381" s="180"/>
      <c r="BD381" s="180"/>
      <c r="BE381" s="180"/>
      <c r="BF381" s="180"/>
      <c r="BG381" s="180"/>
      <c r="BH381" s="180"/>
      <c r="BI381" s="180"/>
      <c r="BJ381" s="180"/>
      <c r="BK381" s="180"/>
      <c r="BL381" s="180"/>
      <c r="BM381" s="180"/>
      <c r="BN381" s="180"/>
      <c r="BO381" s="180"/>
      <c r="BP381" s="180"/>
      <c r="BQ381" s="180"/>
      <c r="BR381" s="180"/>
      <c r="BS381" s="180"/>
      <c r="BT381" s="180"/>
      <c r="BU381" s="180"/>
      <c r="BV381" s="180"/>
      <c r="BW381" s="180"/>
      <c r="BX381" s="180"/>
      <c r="BY381" s="180"/>
      <c r="BZ381" s="180"/>
      <c r="CA381" s="180"/>
      <c r="CB381" s="180"/>
      <c r="CC381" s="180"/>
      <c r="CD381" s="180"/>
      <c r="CE381" s="180"/>
      <c r="CF381" s="180"/>
      <c r="CG381" s="180"/>
      <c r="CH381" s="180"/>
      <c r="CI381" s="180"/>
      <c r="CJ381" s="180"/>
      <c r="CK381" s="180"/>
      <c r="CL381" s="180"/>
      <c r="CM381" s="180"/>
      <c r="CN381" s="180"/>
      <c r="CO381" s="180"/>
      <c r="CP381" s="180"/>
      <c r="CQ381" s="180"/>
      <c r="CR381" s="180"/>
      <c r="CS381" s="180"/>
      <c r="CT381" s="180"/>
      <c r="CU381" s="180"/>
      <c r="CV381" s="180"/>
      <c r="CW381" s="180"/>
      <c r="CX381" s="180"/>
      <c r="CY381" s="180"/>
      <c r="CZ381" s="180"/>
    </row>
    <row r="382" spans="1:104" x14ac:dyDescent="0.45">
      <c r="A382" s="180" t="s">
        <v>3</v>
      </c>
      <c r="B382" s="73">
        <v>6</v>
      </c>
      <c r="C382" s="73"/>
      <c r="D382" s="180" t="s">
        <v>296</v>
      </c>
      <c r="E382" s="39">
        <v>43582</v>
      </c>
      <c r="F382" s="179">
        <v>0.50069444444444444</v>
      </c>
      <c r="G382" s="180">
        <v>1</v>
      </c>
      <c r="H382" s="180"/>
      <c r="I382" s="180"/>
      <c r="J382" s="180"/>
      <c r="K382" s="180"/>
      <c r="L382" s="180"/>
      <c r="M382" s="180"/>
      <c r="N382" s="180"/>
      <c r="O382" s="180"/>
      <c r="P382" s="180"/>
      <c r="AS382" s="180"/>
      <c r="AT382" s="180"/>
      <c r="AU382" s="180"/>
      <c r="AV382" s="180"/>
      <c r="AW382" s="180"/>
      <c r="AX382" s="180"/>
      <c r="AY382" s="180"/>
      <c r="AZ382" s="180"/>
      <c r="BA382" s="180"/>
      <c r="BB382" s="180"/>
      <c r="BC382" s="180"/>
      <c r="BD382" s="180"/>
      <c r="BE382" s="180"/>
      <c r="BF382" s="180"/>
      <c r="BG382" s="180"/>
      <c r="BH382" s="180"/>
      <c r="BI382" s="180"/>
      <c r="BJ382" s="180"/>
      <c r="BK382" s="180"/>
      <c r="BL382" s="180"/>
      <c r="BM382" s="180"/>
      <c r="BN382" s="180"/>
      <c r="BO382" s="180"/>
      <c r="BP382" s="180"/>
      <c r="BQ382" s="180"/>
      <c r="BR382" s="180"/>
      <c r="BS382" s="180"/>
      <c r="BT382" s="180"/>
      <c r="BU382" s="180"/>
      <c r="BV382" s="180"/>
      <c r="BW382" s="180"/>
      <c r="BX382" s="180"/>
      <c r="BY382" s="180"/>
      <c r="BZ382" s="180"/>
      <c r="CA382" s="180"/>
      <c r="CB382" s="180"/>
      <c r="CC382" s="180"/>
      <c r="CD382" s="180"/>
      <c r="CE382" s="180"/>
      <c r="CF382" s="180"/>
      <c r="CG382" s="180"/>
      <c r="CH382" s="180"/>
      <c r="CI382" s="180"/>
      <c r="CJ382" s="180"/>
      <c r="CK382" s="180"/>
      <c r="CL382" s="180"/>
      <c r="CM382" s="180"/>
      <c r="CN382" s="180"/>
      <c r="CO382" s="180"/>
      <c r="CP382" s="180"/>
      <c r="CQ382" s="180"/>
      <c r="CR382" s="180"/>
      <c r="CS382" s="180"/>
      <c r="CT382" s="180"/>
      <c r="CU382" s="180"/>
      <c r="CV382" s="180"/>
      <c r="CW382" s="180"/>
      <c r="CX382" s="180"/>
      <c r="CY382" s="180"/>
      <c r="CZ382" s="180"/>
    </row>
    <row r="383" spans="1:104" x14ac:dyDescent="0.45">
      <c r="A383" s="180" t="s">
        <v>3</v>
      </c>
      <c r="B383" s="73">
        <v>3</v>
      </c>
      <c r="C383" s="73"/>
      <c r="D383" s="180" t="s">
        <v>271</v>
      </c>
      <c r="E383" s="39">
        <v>43582</v>
      </c>
      <c r="F383" s="179">
        <v>0.35833333333333334</v>
      </c>
      <c r="G383" s="180">
        <v>1</v>
      </c>
      <c r="H383" s="180"/>
      <c r="I383" s="180"/>
      <c r="J383" s="180"/>
      <c r="K383" s="180"/>
      <c r="L383" s="180"/>
      <c r="M383" s="180"/>
      <c r="N383" s="180"/>
      <c r="O383" s="180"/>
      <c r="P383" s="180"/>
      <c r="AS383" s="180"/>
      <c r="AT383" s="180"/>
      <c r="AU383" s="180"/>
      <c r="AV383" s="180"/>
      <c r="AW383" s="180"/>
      <c r="AX383" s="180"/>
      <c r="AY383" s="180"/>
      <c r="AZ383" s="180"/>
      <c r="BA383" s="180"/>
      <c r="BB383" s="180"/>
      <c r="BC383" s="180"/>
      <c r="BD383" s="180"/>
      <c r="BE383" s="180"/>
      <c r="BF383" s="180"/>
      <c r="BG383" s="180"/>
      <c r="BH383" s="180"/>
      <c r="BI383" s="180"/>
      <c r="BJ383" s="180"/>
      <c r="BK383" s="180"/>
      <c r="BL383" s="180"/>
      <c r="BM383" s="180"/>
      <c r="BN383" s="180"/>
      <c r="BO383" s="180"/>
      <c r="BP383" s="180"/>
      <c r="BQ383" s="180"/>
      <c r="BR383" s="180"/>
      <c r="BS383" s="180"/>
      <c r="BT383" s="180"/>
      <c r="BU383" s="180"/>
      <c r="BV383" s="180"/>
      <c r="BW383" s="180"/>
      <c r="BX383" s="180"/>
      <c r="BY383" s="180"/>
      <c r="BZ383" s="180"/>
      <c r="CA383" s="180"/>
      <c r="CB383" s="180"/>
      <c r="CC383" s="180"/>
      <c r="CD383" s="180"/>
      <c r="CE383" s="180"/>
      <c r="CF383" s="180"/>
      <c r="CG383" s="180"/>
      <c r="CH383" s="180"/>
      <c r="CI383" s="180"/>
      <c r="CJ383" s="180"/>
      <c r="CK383" s="180"/>
      <c r="CL383" s="180"/>
      <c r="CM383" s="180"/>
      <c r="CN383" s="180"/>
      <c r="CO383" s="180"/>
      <c r="CP383" s="180"/>
      <c r="CQ383" s="180"/>
      <c r="CR383" s="180"/>
      <c r="CS383" s="180"/>
      <c r="CT383" s="180"/>
      <c r="CU383" s="180"/>
      <c r="CV383" s="180"/>
      <c r="CW383" s="180"/>
      <c r="CX383" s="180"/>
      <c r="CY383" s="180"/>
      <c r="CZ383" s="180"/>
    </row>
    <row r="384" spans="1:104" x14ac:dyDescent="0.45">
      <c r="A384" s="180" t="s">
        <v>3</v>
      </c>
      <c r="B384" s="73">
        <v>2</v>
      </c>
      <c r="C384" s="73">
        <v>1</v>
      </c>
      <c r="D384" s="180" t="s">
        <v>349</v>
      </c>
      <c r="E384" s="39">
        <v>43582</v>
      </c>
      <c r="F384" s="179">
        <v>0.44375000000000003</v>
      </c>
      <c r="G384" s="180">
        <v>2</v>
      </c>
      <c r="H384" s="180" t="s">
        <v>350</v>
      </c>
      <c r="I384" s="180"/>
      <c r="J384" s="180"/>
      <c r="K384" s="180"/>
      <c r="L384" s="180"/>
      <c r="M384" s="180"/>
      <c r="N384" s="180"/>
      <c r="O384" s="180"/>
      <c r="P384" s="180"/>
      <c r="AS384" s="180"/>
      <c r="AT384" s="180"/>
      <c r="AU384" s="180"/>
      <c r="AV384" s="180"/>
      <c r="AW384" s="180"/>
      <c r="AX384" s="180"/>
      <c r="AY384" s="180"/>
      <c r="AZ384" s="180"/>
      <c r="BA384" s="180"/>
      <c r="BB384" s="180"/>
      <c r="BC384" s="180"/>
      <c r="BD384" s="180"/>
      <c r="BE384" s="180"/>
      <c r="BF384" s="180"/>
      <c r="BG384" s="180"/>
      <c r="BH384" s="180"/>
      <c r="BI384" s="180"/>
      <c r="BJ384" s="180"/>
      <c r="BK384" s="180"/>
      <c r="BL384" s="180"/>
      <c r="BM384" s="180"/>
      <c r="BN384" s="180"/>
      <c r="BO384" s="180"/>
      <c r="BP384" s="180"/>
      <c r="BQ384" s="180"/>
      <c r="BR384" s="180"/>
      <c r="BS384" s="180"/>
      <c r="BT384" s="180"/>
      <c r="BU384" s="180"/>
      <c r="BV384" s="180"/>
      <c r="BW384" s="180"/>
      <c r="BX384" s="180"/>
      <c r="BY384" s="180"/>
      <c r="BZ384" s="180"/>
      <c r="CA384" s="180"/>
      <c r="CB384" s="180"/>
      <c r="CC384" s="180"/>
      <c r="CD384" s="180"/>
      <c r="CE384" s="180"/>
      <c r="CF384" s="180"/>
      <c r="CG384" s="180"/>
      <c r="CH384" s="180"/>
      <c r="CI384" s="180"/>
      <c r="CJ384" s="180"/>
      <c r="CK384" s="180"/>
      <c r="CL384" s="180"/>
      <c r="CM384" s="180"/>
      <c r="CN384" s="180"/>
      <c r="CO384" s="180"/>
      <c r="CP384" s="180"/>
      <c r="CQ384" s="180"/>
      <c r="CR384" s="180"/>
      <c r="CS384" s="180"/>
      <c r="CT384" s="180"/>
      <c r="CU384" s="180"/>
      <c r="CV384" s="180"/>
      <c r="CW384" s="180"/>
      <c r="CX384" s="180"/>
      <c r="CY384" s="180"/>
      <c r="CZ384" s="180"/>
    </row>
    <row r="385" spans="1:104" x14ac:dyDescent="0.45">
      <c r="A385" s="180" t="s">
        <v>3</v>
      </c>
      <c r="B385" s="73">
        <v>2</v>
      </c>
      <c r="C385" s="73"/>
      <c r="D385" s="180" t="s">
        <v>349</v>
      </c>
      <c r="E385" s="39">
        <v>43582</v>
      </c>
      <c r="F385" s="179">
        <v>0.44375000000000003</v>
      </c>
      <c r="G385" s="180">
        <v>2</v>
      </c>
      <c r="H385" s="180" t="s">
        <v>350</v>
      </c>
      <c r="I385" s="180"/>
      <c r="J385" s="180"/>
      <c r="K385" s="180"/>
      <c r="L385" s="180"/>
      <c r="M385" s="180"/>
      <c r="N385" s="180"/>
      <c r="O385" s="180"/>
      <c r="P385" s="180"/>
      <c r="AS385" s="180"/>
      <c r="AT385" s="180"/>
      <c r="AU385" s="180"/>
      <c r="AV385" s="180"/>
      <c r="AW385" s="180"/>
      <c r="AX385" s="180"/>
      <c r="AY385" s="180"/>
      <c r="AZ385" s="180"/>
      <c r="BA385" s="180"/>
      <c r="BB385" s="180"/>
      <c r="BC385" s="180"/>
      <c r="BD385" s="180"/>
      <c r="BE385" s="180"/>
      <c r="BF385" s="180"/>
      <c r="BG385" s="180"/>
      <c r="BH385" s="180"/>
      <c r="BI385" s="180"/>
      <c r="BJ385" s="180"/>
      <c r="BK385" s="180"/>
      <c r="BL385" s="180"/>
      <c r="BM385" s="180"/>
      <c r="BN385" s="180"/>
      <c r="BO385" s="180"/>
      <c r="BP385" s="180"/>
      <c r="BQ385" s="180"/>
      <c r="BR385" s="180"/>
      <c r="BS385" s="180"/>
      <c r="BT385" s="180"/>
      <c r="BU385" s="180"/>
      <c r="BV385" s="180"/>
      <c r="BW385" s="180"/>
      <c r="BX385" s="180"/>
      <c r="BY385" s="180"/>
      <c r="BZ385" s="180"/>
      <c r="CA385" s="180"/>
      <c r="CB385" s="180"/>
      <c r="CC385" s="180"/>
      <c r="CD385" s="180"/>
      <c r="CE385" s="180"/>
      <c r="CF385" s="180"/>
      <c r="CG385" s="180"/>
      <c r="CH385" s="180"/>
      <c r="CI385" s="180"/>
      <c r="CJ385" s="180"/>
      <c r="CK385" s="180"/>
      <c r="CL385" s="180"/>
      <c r="CM385" s="180"/>
      <c r="CN385" s="180"/>
      <c r="CO385" s="180"/>
      <c r="CP385" s="180"/>
      <c r="CQ385" s="180"/>
      <c r="CR385" s="180"/>
      <c r="CS385" s="180"/>
      <c r="CT385" s="180"/>
      <c r="CU385" s="180"/>
      <c r="CV385" s="180"/>
      <c r="CW385" s="180"/>
      <c r="CX385" s="180"/>
      <c r="CY385" s="180"/>
      <c r="CZ385" s="180"/>
    </row>
    <row r="386" spans="1:104" x14ac:dyDescent="0.45">
      <c r="A386" s="180" t="s">
        <v>3</v>
      </c>
      <c r="B386" s="73">
        <v>2</v>
      </c>
      <c r="C386" s="73"/>
      <c r="D386" s="180" t="s">
        <v>421</v>
      </c>
      <c r="E386" s="39">
        <v>43583</v>
      </c>
      <c r="F386" s="179">
        <v>0.44027777777777777</v>
      </c>
      <c r="G386" s="180">
        <v>4</v>
      </c>
      <c r="H386" s="180"/>
      <c r="I386" s="180"/>
      <c r="J386" s="180"/>
      <c r="K386" s="180"/>
      <c r="L386" s="180"/>
      <c r="M386" s="180"/>
      <c r="N386" s="180"/>
      <c r="O386" s="180"/>
      <c r="P386" s="180"/>
      <c r="AS386" s="180"/>
      <c r="AT386" s="180"/>
      <c r="AU386" s="180"/>
      <c r="AV386" s="180"/>
      <c r="AW386" s="180"/>
      <c r="AX386" s="180"/>
      <c r="AY386" s="180"/>
      <c r="AZ386" s="180"/>
      <c r="BA386" s="180"/>
      <c r="BB386" s="180"/>
      <c r="BC386" s="180"/>
      <c r="BD386" s="180"/>
      <c r="BE386" s="180"/>
      <c r="BF386" s="180"/>
      <c r="BG386" s="180"/>
      <c r="BH386" s="180"/>
      <c r="BI386" s="180"/>
      <c r="BJ386" s="180"/>
      <c r="BK386" s="180"/>
      <c r="BL386" s="180"/>
      <c r="BM386" s="180"/>
      <c r="BN386" s="180"/>
      <c r="BO386" s="180"/>
      <c r="BP386" s="180"/>
      <c r="BQ386" s="180"/>
      <c r="BR386" s="180"/>
      <c r="BS386" s="180"/>
      <c r="BT386" s="180"/>
      <c r="BU386" s="180"/>
      <c r="BV386" s="180"/>
      <c r="BW386" s="180"/>
      <c r="BX386" s="180"/>
      <c r="BY386" s="180"/>
      <c r="BZ386" s="180"/>
      <c r="CA386" s="180"/>
      <c r="CB386" s="180"/>
      <c r="CC386" s="180"/>
      <c r="CD386" s="180"/>
      <c r="CE386" s="180"/>
      <c r="CF386" s="180"/>
      <c r="CG386" s="180"/>
      <c r="CH386" s="180"/>
      <c r="CI386" s="180"/>
      <c r="CJ386" s="180"/>
      <c r="CK386" s="180"/>
      <c r="CL386" s="180"/>
      <c r="CM386" s="180"/>
      <c r="CN386" s="180"/>
      <c r="CO386" s="180"/>
      <c r="CP386" s="180"/>
      <c r="CQ386" s="180"/>
      <c r="CR386" s="180"/>
      <c r="CS386" s="180"/>
      <c r="CT386" s="180"/>
      <c r="CU386" s="180"/>
      <c r="CV386" s="180"/>
      <c r="CW386" s="180"/>
      <c r="CX386" s="180"/>
      <c r="CY386" s="180"/>
      <c r="CZ386" s="180"/>
    </row>
    <row r="387" spans="1:104" x14ac:dyDescent="0.45">
      <c r="A387" s="180" t="s">
        <v>3</v>
      </c>
      <c r="B387" s="73">
        <v>5</v>
      </c>
      <c r="C387" s="73">
        <v>5</v>
      </c>
      <c r="D387" s="180" t="s">
        <v>332</v>
      </c>
      <c r="E387" s="39">
        <v>43583</v>
      </c>
      <c r="F387" s="179">
        <v>0.5854166666666667</v>
      </c>
      <c r="G387" s="180">
        <v>1</v>
      </c>
      <c r="H387" s="180"/>
      <c r="I387" s="180"/>
      <c r="J387" s="180"/>
      <c r="K387" s="180"/>
      <c r="L387" s="180"/>
      <c r="M387" s="180"/>
      <c r="N387" s="180"/>
      <c r="O387" s="180"/>
      <c r="P387" s="180"/>
      <c r="AS387" s="180"/>
      <c r="AT387" s="180"/>
      <c r="AU387" s="180"/>
      <c r="AV387" s="180"/>
      <c r="AW387" s="180"/>
      <c r="AX387" s="180"/>
      <c r="AY387" s="180"/>
      <c r="AZ387" s="180"/>
      <c r="BA387" s="180"/>
      <c r="BB387" s="180"/>
      <c r="BC387" s="180"/>
      <c r="BD387" s="180"/>
      <c r="BE387" s="180"/>
      <c r="BF387" s="180"/>
      <c r="BG387" s="180"/>
      <c r="BH387" s="180"/>
      <c r="BI387" s="180"/>
      <c r="BJ387" s="180"/>
      <c r="BK387" s="180"/>
      <c r="BL387" s="180"/>
      <c r="BM387" s="180"/>
      <c r="BN387" s="180"/>
      <c r="BO387" s="180"/>
      <c r="BP387" s="180"/>
      <c r="BQ387" s="180"/>
      <c r="BR387" s="180"/>
      <c r="BS387" s="180"/>
      <c r="BT387" s="180"/>
      <c r="BU387" s="180"/>
      <c r="BV387" s="180"/>
      <c r="BW387" s="180"/>
      <c r="BX387" s="180"/>
      <c r="BY387" s="180"/>
      <c r="BZ387" s="180"/>
      <c r="CA387" s="180"/>
      <c r="CB387" s="180"/>
      <c r="CC387" s="180"/>
      <c r="CD387" s="180"/>
      <c r="CE387" s="180"/>
      <c r="CF387" s="180"/>
      <c r="CG387" s="180"/>
      <c r="CH387" s="180"/>
      <c r="CI387" s="180"/>
      <c r="CJ387" s="180"/>
      <c r="CK387" s="180"/>
      <c r="CL387" s="180"/>
      <c r="CM387" s="180"/>
      <c r="CN387" s="180"/>
      <c r="CO387" s="180"/>
      <c r="CP387" s="180"/>
      <c r="CQ387" s="180"/>
      <c r="CR387" s="180"/>
      <c r="CS387" s="180"/>
      <c r="CT387" s="180"/>
      <c r="CU387" s="180"/>
      <c r="CV387" s="180"/>
      <c r="CW387" s="180"/>
      <c r="CX387" s="180"/>
      <c r="CY387" s="180"/>
      <c r="CZ387" s="180"/>
    </row>
    <row r="388" spans="1:104" x14ac:dyDescent="0.45">
      <c r="A388" s="180" t="s">
        <v>3</v>
      </c>
      <c r="B388" s="73">
        <v>3</v>
      </c>
      <c r="C388" s="73">
        <v>3</v>
      </c>
      <c r="D388" s="180" t="s">
        <v>311</v>
      </c>
      <c r="E388" s="39">
        <v>43583</v>
      </c>
      <c r="F388" s="179">
        <v>0.4375</v>
      </c>
      <c r="G388" s="180">
        <v>11</v>
      </c>
      <c r="H388" s="180" t="s">
        <v>279</v>
      </c>
      <c r="I388" s="180"/>
      <c r="J388" s="180"/>
      <c r="K388" s="180"/>
      <c r="L388" s="180"/>
      <c r="M388" s="180"/>
      <c r="N388" s="180"/>
      <c r="O388" s="180"/>
      <c r="P388" s="180"/>
      <c r="AS388" s="180"/>
      <c r="AT388" s="180"/>
      <c r="AU388" s="180"/>
      <c r="AV388" s="180"/>
      <c r="AW388" s="180"/>
      <c r="AX388" s="180"/>
      <c r="AY388" s="180"/>
      <c r="AZ388" s="180"/>
      <c r="BA388" s="180"/>
      <c r="BB388" s="180"/>
      <c r="BC388" s="180"/>
      <c r="BD388" s="180"/>
      <c r="BE388" s="180"/>
      <c r="BF388" s="180"/>
      <c r="BG388" s="180"/>
      <c r="BH388" s="180"/>
      <c r="BI388" s="180"/>
      <c r="BJ388" s="180"/>
      <c r="BK388" s="180"/>
      <c r="BL388" s="180"/>
      <c r="BM388" s="180"/>
      <c r="BN388" s="180"/>
      <c r="BO388" s="180"/>
      <c r="BP388" s="180"/>
      <c r="BQ388" s="180"/>
      <c r="BR388" s="180"/>
      <c r="BS388" s="180"/>
      <c r="BT388" s="180"/>
      <c r="BU388" s="180"/>
      <c r="BV388" s="180"/>
      <c r="BW388" s="180"/>
      <c r="BX388" s="180"/>
      <c r="BY388" s="180"/>
      <c r="BZ388" s="180"/>
      <c r="CA388" s="180"/>
      <c r="CB388" s="180"/>
      <c r="CC388" s="180"/>
      <c r="CD388" s="180"/>
      <c r="CE388" s="180"/>
      <c r="CF388" s="180"/>
      <c r="CG388" s="180"/>
      <c r="CH388" s="180"/>
      <c r="CI388" s="180"/>
      <c r="CJ388" s="180"/>
      <c r="CK388" s="180"/>
      <c r="CL388" s="180"/>
      <c r="CM388" s="180"/>
      <c r="CN388" s="180"/>
      <c r="CO388" s="180"/>
      <c r="CP388" s="180"/>
      <c r="CQ388" s="180"/>
      <c r="CR388" s="180"/>
      <c r="CS388" s="180"/>
      <c r="CT388" s="180"/>
      <c r="CU388" s="180"/>
      <c r="CV388" s="180"/>
      <c r="CW388" s="180"/>
      <c r="CX388" s="180"/>
      <c r="CY388" s="180"/>
      <c r="CZ388" s="180"/>
    </row>
    <row r="389" spans="1:104" x14ac:dyDescent="0.45">
      <c r="A389" s="180" t="s">
        <v>3</v>
      </c>
      <c r="B389" s="73">
        <v>1</v>
      </c>
      <c r="C389" s="73">
        <v>1</v>
      </c>
      <c r="D389" s="180" t="s">
        <v>309</v>
      </c>
      <c r="E389" s="39">
        <v>43583</v>
      </c>
      <c r="F389" s="179">
        <v>0.4375</v>
      </c>
      <c r="G389" s="180">
        <v>4</v>
      </c>
      <c r="H389" s="180" t="s">
        <v>279</v>
      </c>
      <c r="I389" s="180"/>
      <c r="J389" s="180"/>
      <c r="K389" s="180"/>
      <c r="L389" s="180"/>
      <c r="M389" s="180"/>
      <c r="N389" s="180"/>
      <c r="O389" s="180"/>
      <c r="P389" s="180"/>
      <c r="AS389" s="180"/>
      <c r="AT389" s="180"/>
      <c r="AU389" s="180"/>
      <c r="AV389" s="180"/>
      <c r="AW389" s="180"/>
      <c r="AX389" s="180"/>
      <c r="AY389" s="180"/>
      <c r="AZ389" s="180"/>
      <c r="BA389" s="180"/>
      <c r="BB389" s="180"/>
      <c r="BC389" s="180"/>
      <c r="BD389" s="180"/>
      <c r="BE389" s="180"/>
      <c r="BF389" s="180"/>
      <c r="BG389" s="180"/>
      <c r="BH389" s="180"/>
      <c r="BI389" s="180"/>
      <c r="BJ389" s="180"/>
      <c r="BK389" s="180"/>
      <c r="BL389" s="180"/>
      <c r="BM389" s="180"/>
      <c r="BN389" s="180"/>
      <c r="BO389" s="180"/>
      <c r="BP389" s="180"/>
      <c r="BQ389" s="180"/>
      <c r="BR389" s="180"/>
      <c r="BS389" s="180"/>
      <c r="BT389" s="180"/>
      <c r="BU389" s="180"/>
      <c r="BV389" s="180"/>
      <c r="BW389" s="180"/>
      <c r="BX389" s="180"/>
      <c r="BY389" s="180"/>
      <c r="BZ389" s="180"/>
      <c r="CA389" s="180"/>
      <c r="CB389" s="180"/>
      <c r="CC389" s="180"/>
      <c r="CD389" s="180"/>
      <c r="CE389" s="180"/>
      <c r="CF389" s="180"/>
      <c r="CG389" s="180"/>
      <c r="CH389" s="180"/>
      <c r="CI389" s="180"/>
      <c r="CJ389" s="180"/>
      <c r="CK389" s="180"/>
      <c r="CL389" s="180"/>
      <c r="CM389" s="180"/>
      <c r="CN389" s="180"/>
      <c r="CO389" s="180"/>
      <c r="CP389" s="180"/>
      <c r="CQ389" s="180"/>
      <c r="CR389" s="180"/>
      <c r="CS389" s="180"/>
      <c r="CT389" s="180"/>
      <c r="CU389" s="180"/>
      <c r="CV389" s="180"/>
      <c r="CW389" s="180"/>
      <c r="CX389" s="180"/>
      <c r="CY389" s="180"/>
      <c r="CZ389" s="180"/>
    </row>
    <row r="390" spans="1:104" x14ac:dyDescent="0.45">
      <c r="A390" s="180" t="s">
        <v>3</v>
      </c>
      <c r="B390" s="73">
        <v>2</v>
      </c>
      <c r="C390" s="73">
        <v>2</v>
      </c>
      <c r="D390" s="180" t="s">
        <v>318</v>
      </c>
      <c r="E390" s="39">
        <v>43583</v>
      </c>
      <c r="F390" s="179">
        <v>0.4375</v>
      </c>
      <c r="G390" s="180">
        <v>6</v>
      </c>
      <c r="H390" s="180" t="s">
        <v>279</v>
      </c>
      <c r="I390" s="180"/>
      <c r="J390" s="180"/>
      <c r="K390" s="180"/>
      <c r="L390" s="180"/>
      <c r="M390" s="180"/>
      <c r="N390" s="180"/>
      <c r="O390" s="180"/>
      <c r="P390" s="180"/>
      <c r="AS390" s="180"/>
      <c r="AT390" s="180"/>
      <c r="AU390" s="180"/>
      <c r="AV390" s="180"/>
      <c r="AW390" s="180"/>
      <c r="AX390" s="180"/>
      <c r="AY390" s="180"/>
      <c r="AZ390" s="180"/>
      <c r="BA390" s="180"/>
      <c r="BB390" s="180"/>
      <c r="BC390" s="180"/>
      <c r="BD390" s="180"/>
      <c r="BE390" s="180"/>
      <c r="BF390" s="180"/>
      <c r="BG390" s="180"/>
      <c r="BH390" s="180"/>
      <c r="BI390" s="180"/>
      <c r="BJ390" s="180"/>
      <c r="BK390" s="180"/>
      <c r="BL390" s="180"/>
      <c r="BM390" s="180"/>
      <c r="BN390" s="180"/>
      <c r="BO390" s="180"/>
      <c r="BP390" s="180"/>
      <c r="BQ390" s="180"/>
      <c r="BR390" s="180"/>
      <c r="BS390" s="180"/>
      <c r="BT390" s="180"/>
      <c r="BU390" s="180"/>
      <c r="BV390" s="180"/>
      <c r="BW390" s="180"/>
      <c r="BX390" s="180"/>
      <c r="BY390" s="180"/>
      <c r="BZ390" s="180"/>
      <c r="CA390" s="180"/>
      <c r="CB390" s="180"/>
      <c r="CC390" s="180"/>
      <c r="CD390" s="180"/>
      <c r="CE390" s="180"/>
      <c r="CF390" s="180"/>
      <c r="CG390" s="180"/>
      <c r="CH390" s="180"/>
      <c r="CI390" s="180"/>
      <c r="CJ390" s="180"/>
      <c r="CK390" s="180"/>
      <c r="CL390" s="180"/>
      <c r="CM390" s="180"/>
      <c r="CN390" s="180"/>
      <c r="CO390" s="180"/>
      <c r="CP390" s="180"/>
      <c r="CQ390" s="180"/>
      <c r="CR390" s="180"/>
      <c r="CS390" s="180"/>
      <c r="CT390" s="180"/>
      <c r="CU390" s="180"/>
      <c r="CV390" s="180"/>
      <c r="CW390" s="180"/>
      <c r="CX390" s="180"/>
      <c r="CY390" s="180"/>
      <c r="CZ390" s="180"/>
    </row>
    <row r="391" spans="1:104" x14ac:dyDescent="0.45">
      <c r="A391" s="180" t="s">
        <v>3</v>
      </c>
      <c r="B391" s="73">
        <v>6</v>
      </c>
      <c r="C391" s="73">
        <v>6</v>
      </c>
      <c r="D391" s="180" t="s">
        <v>271</v>
      </c>
      <c r="E391" s="39">
        <v>43583</v>
      </c>
      <c r="F391" s="179">
        <v>0.4375</v>
      </c>
      <c r="G391" s="180">
        <v>3</v>
      </c>
      <c r="H391" s="180" t="s">
        <v>279</v>
      </c>
      <c r="I391" s="180"/>
      <c r="J391" s="180"/>
      <c r="K391" s="180"/>
      <c r="L391" s="180"/>
      <c r="M391" s="180"/>
      <c r="N391" s="180"/>
      <c r="O391" s="180"/>
      <c r="P391" s="180"/>
      <c r="AS391" s="180"/>
      <c r="AT391" s="180"/>
      <c r="AU391" s="180"/>
      <c r="AV391" s="180"/>
      <c r="AW391" s="180"/>
      <c r="AX391" s="180"/>
      <c r="AY391" s="180"/>
      <c r="AZ391" s="180"/>
      <c r="BA391" s="180"/>
      <c r="BB391" s="180"/>
      <c r="BC391" s="180"/>
      <c r="BD391" s="180"/>
      <c r="BE391" s="180"/>
      <c r="BF391" s="180"/>
      <c r="BG391" s="180"/>
      <c r="BH391" s="180"/>
      <c r="BI391" s="180"/>
      <c r="BJ391" s="180"/>
      <c r="BK391" s="180"/>
      <c r="BL391" s="180"/>
      <c r="BM391" s="180"/>
      <c r="BN391" s="180"/>
      <c r="BO391" s="180"/>
      <c r="BP391" s="180"/>
      <c r="BQ391" s="180"/>
      <c r="BR391" s="180"/>
      <c r="BS391" s="180"/>
      <c r="BT391" s="180"/>
      <c r="BU391" s="180"/>
      <c r="BV391" s="180"/>
      <c r="BW391" s="180"/>
      <c r="BX391" s="180"/>
      <c r="BY391" s="180"/>
      <c r="BZ391" s="180"/>
      <c r="CA391" s="180"/>
      <c r="CB391" s="180"/>
      <c r="CC391" s="180"/>
      <c r="CD391" s="180"/>
      <c r="CE391" s="180"/>
      <c r="CF391" s="180"/>
      <c r="CG391" s="180"/>
      <c r="CH391" s="180"/>
      <c r="CI391" s="180"/>
      <c r="CJ391" s="180"/>
      <c r="CK391" s="180"/>
      <c r="CL391" s="180"/>
      <c r="CM391" s="180"/>
      <c r="CN391" s="180"/>
      <c r="CO391" s="180"/>
      <c r="CP391" s="180"/>
      <c r="CQ391" s="180"/>
      <c r="CR391" s="180"/>
      <c r="CS391" s="180"/>
      <c r="CT391" s="180"/>
      <c r="CU391" s="180"/>
      <c r="CV391" s="180"/>
      <c r="CW391" s="180"/>
      <c r="CX391" s="180"/>
      <c r="CY391" s="180"/>
      <c r="CZ391" s="180"/>
    </row>
    <row r="392" spans="1:104" x14ac:dyDescent="0.45">
      <c r="A392" s="180" t="s">
        <v>3</v>
      </c>
      <c r="B392" s="73">
        <v>1</v>
      </c>
      <c r="C392" s="73">
        <v>1</v>
      </c>
      <c r="D392" s="180" t="s">
        <v>422</v>
      </c>
      <c r="E392" s="39">
        <v>43583</v>
      </c>
      <c r="F392" s="179">
        <v>0.375</v>
      </c>
      <c r="G392" s="180">
        <v>2</v>
      </c>
      <c r="H392" s="180" t="s">
        <v>423</v>
      </c>
      <c r="I392" s="180"/>
      <c r="J392" s="180"/>
      <c r="K392" s="180"/>
      <c r="L392" s="180"/>
      <c r="M392" s="180"/>
      <c r="N392" s="180"/>
      <c r="O392" s="180"/>
      <c r="P392" s="180"/>
      <c r="AS392" s="180"/>
      <c r="AT392" s="180"/>
      <c r="AU392" s="180"/>
      <c r="AV392" s="180"/>
      <c r="AW392" s="180"/>
      <c r="AX392" s="180"/>
      <c r="AY392" s="180"/>
      <c r="AZ392" s="180"/>
      <c r="BA392" s="180"/>
      <c r="BB392" s="180"/>
      <c r="BC392" s="180"/>
      <c r="BD392" s="180"/>
      <c r="BE392" s="180"/>
      <c r="BF392" s="180"/>
      <c r="BG392" s="180"/>
      <c r="BH392" s="180"/>
      <c r="BI392" s="180"/>
      <c r="BJ392" s="180"/>
      <c r="BK392" s="180"/>
      <c r="BL392" s="180"/>
      <c r="BM392" s="180"/>
      <c r="BN392" s="180"/>
      <c r="BO392" s="180"/>
      <c r="BP392" s="180"/>
      <c r="BQ392" s="180"/>
      <c r="BR392" s="180"/>
      <c r="BS392" s="180"/>
      <c r="BT392" s="180"/>
      <c r="BU392" s="180"/>
      <c r="BV392" s="180"/>
      <c r="BW392" s="180"/>
      <c r="BX392" s="180"/>
      <c r="BY392" s="180"/>
      <c r="BZ392" s="180"/>
      <c r="CA392" s="180"/>
      <c r="CB392" s="180"/>
      <c r="CC392" s="180"/>
      <c r="CD392" s="180"/>
      <c r="CE392" s="180"/>
      <c r="CF392" s="180"/>
      <c r="CG392" s="180"/>
      <c r="CH392" s="180"/>
      <c r="CI392" s="180"/>
      <c r="CJ392" s="180"/>
      <c r="CK392" s="180"/>
      <c r="CL392" s="180"/>
      <c r="CM392" s="180"/>
      <c r="CN392" s="180"/>
      <c r="CO392" s="180"/>
      <c r="CP392" s="180"/>
      <c r="CQ392" s="180"/>
      <c r="CR392" s="180"/>
      <c r="CS392" s="180"/>
      <c r="CT392" s="180"/>
      <c r="CU392" s="180"/>
      <c r="CV392" s="180"/>
      <c r="CW392" s="180"/>
      <c r="CX392" s="180"/>
      <c r="CY392" s="180"/>
      <c r="CZ392" s="180"/>
    </row>
    <row r="393" spans="1:104" x14ac:dyDescent="0.45">
      <c r="A393" s="180" t="s">
        <v>3</v>
      </c>
      <c r="B393" s="73">
        <v>2</v>
      </c>
      <c r="C393" s="73">
        <v>2</v>
      </c>
      <c r="D393" s="180" t="s">
        <v>128</v>
      </c>
      <c r="E393" s="39">
        <v>43584</v>
      </c>
      <c r="F393" s="179">
        <v>0.50486111111111109</v>
      </c>
      <c r="G393" s="180">
        <v>1</v>
      </c>
      <c r="H393" s="180" t="s">
        <v>352</v>
      </c>
      <c r="I393" s="180"/>
      <c r="J393" s="180"/>
      <c r="K393" s="180"/>
      <c r="L393" s="180"/>
      <c r="M393" s="180"/>
      <c r="N393" s="180"/>
      <c r="O393" s="180"/>
      <c r="P393" s="180"/>
      <c r="AS393" s="180"/>
      <c r="AT393" s="180"/>
      <c r="AU393" s="180"/>
      <c r="AV393" s="180"/>
      <c r="AW393" s="180"/>
      <c r="AX393" s="180"/>
      <c r="AY393" s="180"/>
      <c r="AZ393" s="180"/>
      <c r="BA393" s="180"/>
      <c r="BB393" s="180"/>
      <c r="BC393" s="180"/>
      <c r="BD393" s="180"/>
      <c r="BE393" s="180"/>
      <c r="BF393" s="180"/>
      <c r="BG393" s="180"/>
      <c r="BH393" s="180"/>
      <c r="BI393" s="180"/>
      <c r="BJ393" s="180"/>
      <c r="BK393" s="180"/>
      <c r="BL393" s="180"/>
      <c r="BM393" s="180"/>
      <c r="BN393" s="180"/>
      <c r="BO393" s="180"/>
      <c r="BP393" s="180"/>
      <c r="BQ393" s="180"/>
      <c r="BR393" s="180"/>
      <c r="BS393" s="180"/>
      <c r="BT393" s="180"/>
      <c r="BU393" s="180"/>
      <c r="BV393" s="180"/>
      <c r="BW393" s="180"/>
      <c r="BX393" s="180"/>
      <c r="BY393" s="180"/>
      <c r="BZ393" s="180"/>
      <c r="CA393" s="180"/>
      <c r="CB393" s="180"/>
      <c r="CC393" s="180"/>
      <c r="CD393" s="180"/>
      <c r="CE393" s="180"/>
      <c r="CF393" s="180"/>
      <c r="CG393" s="180"/>
      <c r="CH393" s="180"/>
      <c r="CI393" s="180"/>
      <c r="CJ393" s="180"/>
      <c r="CK393" s="180"/>
      <c r="CL393" s="180"/>
      <c r="CM393" s="180"/>
      <c r="CN393" s="180"/>
      <c r="CO393" s="180"/>
      <c r="CP393" s="180"/>
      <c r="CQ393" s="180"/>
      <c r="CR393" s="180"/>
      <c r="CS393" s="180"/>
      <c r="CT393" s="180"/>
      <c r="CU393" s="180"/>
      <c r="CV393" s="180"/>
      <c r="CW393" s="180"/>
      <c r="CX393" s="180"/>
      <c r="CY393" s="180"/>
      <c r="CZ393" s="180"/>
    </row>
    <row r="394" spans="1:104" x14ac:dyDescent="0.45">
      <c r="A394" s="180" t="s">
        <v>3</v>
      </c>
      <c r="B394" s="73">
        <v>3</v>
      </c>
      <c r="C394" s="73">
        <v>3</v>
      </c>
      <c r="D394" s="180" t="s">
        <v>424</v>
      </c>
      <c r="E394" s="39">
        <v>43584</v>
      </c>
      <c r="F394" s="179">
        <v>0.49791666666666662</v>
      </c>
      <c r="G394" s="180">
        <v>1</v>
      </c>
      <c r="H394" s="180"/>
      <c r="I394" s="180"/>
      <c r="J394" s="180"/>
      <c r="K394" s="180"/>
      <c r="L394" s="180"/>
      <c r="M394" s="180"/>
      <c r="N394" s="180"/>
      <c r="O394" s="180"/>
      <c r="P394" s="180"/>
      <c r="AS394" s="180"/>
      <c r="AT394" s="180"/>
      <c r="AU394" s="180"/>
      <c r="AV394" s="180"/>
      <c r="AW394" s="180"/>
      <c r="AX394" s="180"/>
      <c r="AY394" s="180"/>
      <c r="AZ394" s="180"/>
      <c r="BA394" s="180"/>
      <c r="BB394" s="180"/>
      <c r="BC394" s="180"/>
      <c r="BD394" s="180"/>
      <c r="BE394" s="180"/>
      <c r="BF394" s="180"/>
      <c r="BG394" s="180"/>
      <c r="BH394" s="180"/>
      <c r="BI394" s="180"/>
      <c r="BJ394" s="180"/>
      <c r="BK394" s="180"/>
      <c r="BL394" s="180"/>
      <c r="BM394" s="180"/>
      <c r="BN394" s="180"/>
      <c r="BO394" s="180"/>
      <c r="BP394" s="180"/>
      <c r="BQ394" s="180"/>
      <c r="BR394" s="180"/>
      <c r="BS394" s="180"/>
      <c r="BT394" s="180"/>
      <c r="BU394" s="180"/>
      <c r="BV394" s="180"/>
      <c r="BW394" s="180"/>
      <c r="BX394" s="180"/>
      <c r="BY394" s="180"/>
      <c r="BZ394" s="180"/>
      <c r="CA394" s="180"/>
      <c r="CB394" s="180"/>
      <c r="CC394" s="180"/>
      <c r="CD394" s="180"/>
      <c r="CE394" s="180"/>
      <c r="CF394" s="180"/>
      <c r="CG394" s="180"/>
      <c r="CH394" s="180"/>
      <c r="CI394" s="180"/>
      <c r="CJ394" s="180"/>
      <c r="CK394" s="180"/>
      <c r="CL394" s="180"/>
      <c r="CM394" s="180"/>
      <c r="CN394" s="180"/>
      <c r="CO394" s="180"/>
      <c r="CP394" s="180"/>
      <c r="CQ394" s="180"/>
      <c r="CR394" s="180"/>
      <c r="CS394" s="180"/>
      <c r="CT394" s="180"/>
      <c r="CU394" s="180"/>
      <c r="CV394" s="180"/>
      <c r="CW394" s="180"/>
      <c r="CX394" s="180"/>
      <c r="CY394" s="180"/>
      <c r="CZ394" s="180"/>
    </row>
    <row r="395" spans="1:104" x14ac:dyDescent="0.45">
      <c r="A395" s="180" t="s">
        <v>3</v>
      </c>
      <c r="B395" s="73">
        <v>2</v>
      </c>
      <c r="C395" s="73"/>
      <c r="D395" s="180" t="s">
        <v>425</v>
      </c>
      <c r="E395" s="39">
        <v>43585</v>
      </c>
      <c r="F395" s="179">
        <v>0.58263888888888882</v>
      </c>
      <c r="G395" s="180">
        <v>1</v>
      </c>
      <c r="H395" s="180"/>
      <c r="I395" s="180"/>
      <c r="J395" s="180"/>
      <c r="K395" s="180"/>
      <c r="L395" s="180"/>
      <c r="M395" s="180"/>
      <c r="N395" s="180"/>
      <c r="O395" s="180"/>
      <c r="P395" s="180"/>
      <c r="AS395" s="180"/>
      <c r="AT395" s="180"/>
      <c r="AU395" s="180"/>
      <c r="AV395" s="180"/>
      <c r="AW395" s="180"/>
      <c r="AX395" s="180"/>
      <c r="AY395" s="180"/>
      <c r="AZ395" s="180"/>
      <c r="BA395" s="180"/>
      <c r="BB395" s="180"/>
      <c r="BC395" s="180"/>
      <c r="BD395" s="180"/>
      <c r="BE395" s="180"/>
      <c r="BF395" s="180"/>
      <c r="BG395" s="180"/>
      <c r="BH395" s="180"/>
      <c r="BI395" s="180"/>
      <c r="BJ395" s="180"/>
      <c r="BK395" s="180"/>
      <c r="BL395" s="180"/>
      <c r="BM395" s="180"/>
      <c r="BN395" s="180"/>
      <c r="BO395" s="180"/>
      <c r="BP395" s="180"/>
      <c r="BQ395" s="180"/>
      <c r="BR395" s="180"/>
      <c r="BS395" s="180"/>
      <c r="BT395" s="180"/>
      <c r="BU395" s="180"/>
      <c r="BV395" s="180"/>
      <c r="BW395" s="180"/>
      <c r="BX395" s="180"/>
      <c r="BY395" s="180"/>
      <c r="BZ395" s="180"/>
      <c r="CA395" s="180"/>
      <c r="CB395" s="180"/>
      <c r="CC395" s="180"/>
      <c r="CD395" s="180"/>
      <c r="CE395" s="180"/>
      <c r="CF395" s="180"/>
      <c r="CG395" s="180"/>
      <c r="CH395" s="180"/>
      <c r="CI395" s="180"/>
      <c r="CJ395" s="180"/>
      <c r="CK395" s="180"/>
      <c r="CL395" s="180"/>
      <c r="CM395" s="180"/>
      <c r="CN395" s="180"/>
      <c r="CO395" s="180"/>
      <c r="CP395" s="180"/>
      <c r="CQ395" s="180"/>
      <c r="CR395" s="180"/>
      <c r="CS395" s="180"/>
      <c r="CT395" s="180"/>
      <c r="CU395" s="180"/>
      <c r="CV395" s="180"/>
      <c r="CW395" s="180"/>
      <c r="CX395" s="180"/>
      <c r="CY395" s="180"/>
      <c r="CZ395" s="180"/>
    </row>
    <row r="396" spans="1:104" x14ac:dyDescent="0.45">
      <c r="A396" s="180" t="s">
        <v>3</v>
      </c>
      <c r="B396" s="73">
        <v>5</v>
      </c>
      <c r="C396" s="73">
        <v>5</v>
      </c>
      <c r="D396" s="180" t="s">
        <v>296</v>
      </c>
      <c r="E396" s="39">
        <v>43585</v>
      </c>
      <c r="F396" s="179">
        <v>0.41944444444444445</v>
      </c>
      <c r="G396" s="180">
        <v>2</v>
      </c>
      <c r="H396" s="180"/>
      <c r="I396" s="180"/>
      <c r="J396" s="180"/>
      <c r="K396" s="180"/>
      <c r="L396" s="180"/>
      <c r="M396" s="180"/>
      <c r="N396" s="180"/>
      <c r="O396" s="180"/>
      <c r="P396" s="180"/>
      <c r="AS396" s="180"/>
      <c r="AT396" s="180"/>
      <c r="AU396" s="180"/>
      <c r="AV396" s="180"/>
      <c r="AW396" s="180"/>
      <c r="AX396" s="180"/>
      <c r="AY396" s="180"/>
      <c r="AZ396" s="180"/>
      <c r="BA396" s="180"/>
      <c r="BB396" s="180"/>
      <c r="BC396" s="180"/>
      <c r="BD396" s="180"/>
      <c r="BE396" s="180"/>
      <c r="BF396" s="180"/>
      <c r="BG396" s="180"/>
      <c r="BH396" s="180"/>
      <c r="BI396" s="180"/>
      <c r="BJ396" s="180"/>
      <c r="BK396" s="180"/>
      <c r="BL396" s="180"/>
      <c r="BM396" s="180"/>
      <c r="BN396" s="180"/>
      <c r="BO396" s="180"/>
      <c r="BP396" s="180"/>
      <c r="BQ396" s="180"/>
      <c r="BR396" s="180"/>
      <c r="BS396" s="180"/>
      <c r="BT396" s="180"/>
      <c r="BU396" s="180"/>
      <c r="BV396" s="180"/>
      <c r="BW396" s="180"/>
      <c r="BX396" s="180"/>
      <c r="BY396" s="180"/>
      <c r="BZ396" s="180"/>
      <c r="CA396" s="180"/>
      <c r="CB396" s="180"/>
      <c r="CC396" s="180"/>
      <c r="CD396" s="180"/>
      <c r="CE396" s="180"/>
      <c r="CF396" s="180"/>
      <c r="CG396" s="180"/>
      <c r="CH396" s="180"/>
      <c r="CI396" s="180"/>
      <c r="CJ396" s="180"/>
      <c r="CK396" s="180"/>
      <c r="CL396" s="180"/>
      <c r="CM396" s="180"/>
      <c r="CN396" s="180"/>
      <c r="CO396" s="180"/>
      <c r="CP396" s="180"/>
      <c r="CQ396" s="180"/>
      <c r="CR396" s="180"/>
      <c r="CS396" s="180"/>
      <c r="CT396" s="180"/>
      <c r="CU396" s="180"/>
      <c r="CV396" s="180"/>
      <c r="CW396" s="180"/>
      <c r="CX396" s="180"/>
      <c r="CY396" s="180"/>
      <c r="CZ396" s="180"/>
    </row>
    <row r="397" spans="1:104" x14ac:dyDescent="0.45">
      <c r="A397" s="180" t="s">
        <v>3</v>
      </c>
      <c r="B397" s="73">
        <v>2</v>
      </c>
      <c r="C397" s="73"/>
      <c r="D397" s="180" t="s">
        <v>296</v>
      </c>
      <c r="E397" s="39">
        <v>43585</v>
      </c>
      <c r="F397" s="179">
        <v>0.58611111111111114</v>
      </c>
      <c r="G397" s="180">
        <v>1</v>
      </c>
      <c r="H397" s="180"/>
      <c r="I397" s="180"/>
      <c r="J397" s="180"/>
      <c r="K397" s="180"/>
      <c r="L397" s="180"/>
      <c r="M397" s="180"/>
      <c r="N397" s="180"/>
      <c r="O397" s="180"/>
      <c r="P397" s="180"/>
      <c r="AS397" s="180"/>
      <c r="AT397" s="180"/>
      <c r="AU397" s="180"/>
      <c r="AV397" s="180"/>
      <c r="AW397" s="180"/>
      <c r="AX397" s="180"/>
      <c r="AY397" s="180"/>
      <c r="AZ397" s="180"/>
      <c r="BA397" s="180"/>
      <c r="BB397" s="180"/>
      <c r="BC397" s="180"/>
      <c r="BD397" s="180"/>
      <c r="BE397" s="180"/>
      <c r="BF397" s="180"/>
      <c r="BG397" s="180"/>
      <c r="BH397" s="180"/>
      <c r="BI397" s="180"/>
      <c r="BJ397" s="180"/>
      <c r="BK397" s="180"/>
      <c r="BL397" s="180"/>
      <c r="BM397" s="180"/>
      <c r="BN397" s="180"/>
      <c r="BO397" s="180"/>
      <c r="BP397" s="180"/>
      <c r="BQ397" s="180"/>
      <c r="BR397" s="180"/>
      <c r="BS397" s="180"/>
      <c r="BT397" s="180"/>
      <c r="BU397" s="180"/>
      <c r="BV397" s="180"/>
      <c r="BW397" s="180"/>
      <c r="BX397" s="180"/>
      <c r="BY397" s="180"/>
      <c r="BZ397" s="180"/>
      <c r="CA397" s="180"/>
      <c r="CB397" s="180"/>
      <c r="CC397" s="180"/>
      <c r="CD397" s="180"/>
      <c r="CE397" s="180"/>
      <c r="CF397" s="180"/>
      <c r="CG397" s="180"/>
      <c r="CH397" s="180"/>
      <c r="CI397" s="180"/>
      <c r="CJ397" s="180"/>
      <c r="CK397" s="180"/>
      <c r="CL397" s="180"/>
      <c r="CM397" s="180"/>
      <c r="CN397" s="180"/>
      <c r="CO397" s="180"/>
      <c r="CP397" s="180"/>
      <c r="CQ397" s="180"/>
      <c r="CR397" s="180"/>
      <c r="CS397" s="180"/>
      <c r="CT397" s="180"/>
      <c r="CU397" s="180"/>
      <c r="CV397" s="180"/>
      <c r="CW397" s="180"/>
      <c r="CX397" s="180"/>
      <c r="CY397" s="180"/>
      <c r="CZ397" s="180"/>
    </row>
    <row r="398" spans="1:104" x14ac:dyDescent="0.45">
      <c r="A398" s="180" t="s">
        <v>3</v>
      </c>
      <c r="B398" s="73">
        <v>3</v>
      </c>
      <c r="C398" s="73"/>
      <c r="D398" s="180" t="s">
        <v>271</v>
      </c>
      <c r="E398" s="39">
        <v>43585</v>
      </c>
      <c r="F398" s="179">
        <v>0.37361111111111112</v>
      </c>
      <c r="G398" s="180">
        <v>1</v>
      </c>
      <c r="H398" s="180"/>
      <c r="I398" s="180"/>
      <c r="J398" s="180"/>
      <c r="K398" s="180"/>
      <c r="L398" s="180"/>
      <c r="M398" s="180"/>
      <c r="N398" s="180"/>
      <c r="O398" s="180"/>
      <c r="P398" s="180"/>
      <c r="AS398" s="180"/>
      <c r="AT398" s="180"/>
      <c r="AU398" s="180"/>
      <c r="AV398" s="180"/>
      <c r="AW398" s="180"/>
      <c r="AX398" s="180"/>
      <c r="AY398" s="180"/>
      <c r="AZ398" s="180"/>
      <c r="BA398" s="180"/>
      <c r="BB398" s="180"/>
      <c r="BC398" s="180"/>
      <c r="BD398" s="180"/>
      <c r="BE398" s="180"/>
      <c r="BF398" s="180"/>
      <c r="BG398" s="180"/>
      <c r="BH398" s="180"/>
      <c r="BI398" s="180"/>
      <c r="BJ398" s="180"/>
      <c r="BK398" s="180"/>
      <c r="BL398" s="180"/>
      <c r="BM398" s="180"/>
      <c r="BN398" s="180"/>
      <c r="BO398" s="180"/>
      <c r="BP398" s="180"/>
      <c r="BQ398" s="180"/>
      <c r="BR398" s="180"/>
      <c r="BS398" s="180"/>
      <c r="BT398" s="180"/>
      <c r="BU398" s="180"/>
      <c r="BV398" s="180"/>
      <c r="BW398" s="180"/>
      <c r="BX398" s="180"/>
      <c r="BY398" s="180"/>
      <c r="BZ398" s="180"/>
      <c r="CA398" s="180"/>
      <c r="CB398" s="180"/>
      <c r="CC398" s="180"/>
      <c r="CD398" s="180"/>
      <c r="CE398" s="180"/>
      <c r="CF398" s="180"/>
      <c r="CG398" s="180"/>
      <c r="CH398" s="180"/>
      <c r="CI398" s="180"/>
      <c r="CJ398" s="180"/>
      <c r="CK398" s="180"/>
      <c r="CL398" s="180"/>
      <c r="CM398" s="180"/>
      <c r="CN398" s="180"/>
      <c r="CO398" s="180"/>
      <c r="CP398" s="180"/>
      <c r="CQ398" s="180"/>
      <c r="CR398" s="180"/>
      <c r="CS398" s="180"/>
      <c r="CT398" s="180"/>
      <c r="CU398" s="180"/>
      <c r="CV398" s="180"/>
      <c r="CW398" s="180"/>
      <c r="CX398" s="180"/>
      <c r="CY398" s="180"/>
      <c r="CZ398" s="180"/>
    </row>
    <row r="399" spans="1:104" x14ac:dyDescent="0.45">
      <c r="A399" s="180" t="s">
        <v>3</v>
      </c>
      <c r="B399" s="73">
        <v>1</v>
      </c>
      <c r="C399" s="73">
        <v>1</v>
      </c>
      <c r="D399" s="180" t="s">
        <v>299</v>
      </c>
      <c r="E399" s="39">
        <v>43586</v>
      </c>
      <c r="F399" s="179">
        <v>0.85416666666666663</v>
      </c>
      <c r="G399" s="180">
        <v>1</v>
      </c>
      <c r="H399" s="180" t="s">
        <v>426</v>
      </c>
      <c r="I399" s="180"/>
      <c r="J399" s="180"/>
      <c r="K399" s="180"/>
      <c r="L399" s="180"/>
      <c r="M399" s="180"/>
      <c r="N399" s="180"/>
      <c r="O399" s="180"/>
      <c r="P399" s="180"/>
      <c r="AS399" s="180"/>
      <c r="AT399" s="180"/>
      <c r="AU399" s="180"/>
      <c r="AV399" s="180"/>
      <c r="AW399" s="180"/>
      <c r="AX399" s="180"/>
      <c r="AY399" s="180"/>
      <c r="AZ399" s="180"/>
      <c r="BA399" s="180"/>
      <c r="BB399" s="180"/>
      <c r="BC399" s="180"/>
      <c r="BD399" s="180"/>
      <c r="BE399" s="180"/>
      <c r="BF399" s="180"/>
      <c r="BG399" s="180"/>
      <c r="BH399" s="180"/>
      <c r="BI399" s="180"/>
      <c r="BJ399" s="180"/>
      <c r="BK399" s="180"/>
      <c r="BL399" s="180"/>
      <c r="BM399" s="180"/>
      <c r="BN399" s="180"/>
      <c r="BO399" s="180"/>
      <c r="BP399" s="180"/>
      <c r="BQ399" s="180"/>
      <c r="BR399" s="180"/>
      <c r="BS399" s="180"/>
      <c r="BT399" s="180"/>
      <c r="BU399" s="180"/>
      <c r="BV399" s="180"/>
      <c r="BW399" s="180"/>
      <c r="BX399" s="180"/>
      <c r="BY399" s="180"/>
      <c r="BZ399" s="180"/>
      <c r="CA399" s="180"/>
      <c r="CB399" s="180"/>
      <c r="CC399" s="180"/>
      <c r="CD399" s="180"/>
      <c r="CE399" s="180"/>
      <c r="CF399" s="180"/>
      <c r="CG399" s="180"/>
      <c r="CH399" s="180"/>
      <c r="CI399" s="180"/>
      <c r="CJ399" s="180"/>
      <c r="CK399" s="180"/>
      <c r="CL399" s="180"/>
      <c r="CM399" s="180"/>
      <c r="CN399" s="180"/>
      <c r="CO399" s="180"/>
      <c r="CP399" s="180"/>
      <c r="CQ399" s="180"/>
      <c r="CR399" s="180"/>
      <c r="CS399" s="180"/>
      <c r="CT399" s="180"/>
      <c r="CU399" s="180"/>
      <c r="CV399" s="180"/>
      <c r="CW399" s="180"/>
      <c r="CX399" s="180"/>
      <c r="CY399" s="180"/>
      <c r="CZ399" s="180"/>
    </row>
    <row r="400" spans="1:104" x14ac:dyDescent="0.45">
      <c r="A400" s="180" t="s">
        <v>3</v>
      </c>
      <c r="B400" s="73">
        <v>3</v>
      </c>
      <c r="C400" s="73">
        <v>3</v>
      </c>
      <c r="D400" s="180" t="s">
        <v>356</v>
      </c>
      <c r="E400" s="39">
        <v>43587</v>
      </c>
      <c r="F400" s="179">
        <v>0.47291666666666665</v>
      </c>
      <c r="G400" s="180">
        <v>2</v>
      </c>
      <c r="H400" s="180"/>
      <c r="I400" s="180"/>
      <c r="J400" s="180"/>
      <c r="K400" s="180"/>
      <c r="L400" s="180"/>
      <c r="M400" s="180"/>
      <c r="N400" s="180"/>
      <c r="O400" s="180"/>
      <c r="P400" s="180"/>
      <c r="AS400" s="180"/>
      <c r="AT400" s="180"/>
      <c r="AU400" s="180"/>
      <c r="AV400" s="180"/>
      <c r="AW400" s="180"/>
      <c r="AX400" s="180"/>
      <c r="AY400" s="180"/>
      <c r="AZ400" s="180"/>
      <c r="BA400" s="180"/>
      <c r="BB400" s="180"/>
      <c r="BC400" s="180"/>
      <c r="BD400" s="180"/>
      <c r="BE400" s="180"/>
      <c r="BF400" s="180"/>
      <c r="BG400" s="180"/>
      <c r="BH400" s="180"/>
      <c r="BI400" s="180"/>
      <c r="BJ400" s="180"/>
      <c r="BK400" s="180"/>
      <c r="BL400" s="180"/>
      <c r="BM400" s="180"/>
      <c r="BN400" s="180"/>
      <c r="BO400" s="180"/>
      <c r="BP400" s="180"/>
      <c r="BQ400" s="180"/>
      <c r="BR400" s="180"/>
      <c r="BS400" s="180"/>
      <c r="BT400" s="180"/>
      <c r="BU400" s="180"/>
      <c r="BV400" s="180"/>
      <c r="BW400" s="180"/>
      <c r="BX400" s="180"/>
      <c r="BY400" s="180"/>
      <c r="BZ400" s="180"/>
      <c r="CA400" s="180"/>
      <c r="CB400" s="180"/>
      <c r="CC400" s="180"/>
      <c r="CD400" s="180"/>
      <c r="CE400" s="180"/>
      <c r="CF400" s="180"/>
      <c r="CG400" s="180"/>
      <c r="CH400" s="180"/>
      <c r="CI400" s="180"/>
      <c r="CJ400" s="180"/>
      <c r="CK400" s="180"/>
      <c r="CL400" s="180"/>
      <c r="CM400" s="180"/>
      <c r="CN400" s="180"/>
      <c r="CO400" s="180"/>
      <c r="CP400" s="180"/>
      <c r="CQ400" s="180"/>
      <c r="CR400" s="180"/>
      <c r="CS400" s="180"/>
      <c r="CT400" s="180"/>
      <c r="CU400" s="180"/>
      <c r="CV400" s="180"/>
      <c r="CW400" s="180"/>
      <c r="CX400" s="180"/>
      <c r="CY400" s="180"/>
      <c r="CZ400" s="180"/>
    </row>
    <row r="401" spans="1:104" x14ac:dyDescent="0.45">
      <c r="A401" s="180" t="s">
        <v>3</v>
      </c>
      <c r="B401" s="73">
        <v>2</v>
      </c>
      <c r="C401" s="73"/>
      <c r="D401" s="180" t="s">
        <v>128</v>
      </c>
      <c r="E401" s="39">
        <v>43588</v>
      </c>
      <c r="F401" s="179">
        <v>0.50069444444444444</v>
      </c>
      <c r="G401" s="180">
        <v>3</v>
      </c>
      <c r="H401" s="180"/>
      <c r="I401" s="180"/>
      <c r="J401" s="180"/>
      <c r="K401" s="180"/>
      <c r="L401" s="180"/>
      <c r="M401" s="180"/>
      <c r="N401" s="180"/>
      <c r="O401" s="180"/>
      <c r="P401" s="180"/>
      <c r="AS401" s="180"/>
      <c r="AT401" s="180"/>
      <c r="AU401" s="180"/>
      <c r="AV401" s="180"/>
      <c r="AW401" s="180"/>
      <c r="AX401" s="180"/>
      <c r="AY401" s="180"/>
      <c r="AZ401" s="180"/>
      <c r="BA401" s="180"/>
      <c r="BB401" s="180"/>
      <c r="BC401" s="180"/>
      <c r="BD401" s="180"/>
      <c r="BE401" s="180"/>
      <c r="BF401" s="180"/>
      <c r="BG401" s="180"/>
      <c r="BH401" s="180"/>
      <c r="BI401" s="180"/>
      <c r="BJ401" s="180"/>
      <c r="BK401" s="180"/>
      <c r="BL401" s="180"/>
      <c r="BM401" s="180"/>
      <c r="BN401" s="180"/>
      <c r="BO401" s="180"/>
      <c r="BP401" s="180"/>
      <c r="BQ401" s="180"/>
      <c r="BR401" s="180"/>
      <c r="BS401" s="180"/>
      <c r="BT401" s="180"/>
      <c r="BU401" s="180"/>
      <c r="BV401" s="180"/>
      <c r="BW401" s="180"/>
      <c r="BX401" s="180"/>
      <c r="BY401" s="180"/>
      <c r="BZ401" s="180"/>
      <c r="CA401" s="180"/>
      <c r="CB401" s="180"/>
      <c r="CC401" s="180"/>
      <c r="CD401" s="180"/>
      <c r="CE401" s="180"/>
      <c r="CF401" s="180"/>
      <c r="CG401" s="180"/>
      <c r="CH401" s="180"/>
      <c r="CI401" s="180"/>
      <c r="CJ401" s="180"/>
      <c r="CK401" s="180"/>
      <c r="CL401" s="180"/>
      <c r="CM401" s="180"/>
      <c r="CN401" s="180"/>
      <c r="CO401" s="180"/>
      <c r="CP401" s="180"/>
      <c r="CQ401" s="180"/>
      <c r="CR401" s="180"/>
      <c r="CS401" s="180"/>
      <c r="CT401" s="180"/>
      <c r="CU401" s="180"/>
      <c r="CV401" s="180"/>
      <c r="CW401" s="180"/>
      <c r="CX401" s="180"/>
      <c r="CY401" s="180"/>
      <c r="CZ401" s="180"/>
    </row>
    <row r="402" spans="1:104" x14ac:dyDescent="0.45">
      <c r="A402" s="180" t="s">
        <v>3</v>
      </c>
      <c r="B402" s="73">
        <v>2</v>
      </c>
      <c r="C402" s="73"/>
      <c r="D402" s="180" t="s">
        <v>128</v>
      </c>
      <c r="E402" s="39">
        <v>43588</v>
      </c>
      <c r="F402" s="179">
        <v>0.50069444444444444</v>
      </c>
      <c r="G402" s="180">
        <v>3</v>
      </c>
      <c r="H402" s="180"/>
      <c r="I402" s="180"/>
      <c r="J402" s="180"/>
      <c r="K402" s="180"/>
      <c r="L402" s="180"/>
      <c r="M402" s="180"/>
      <c r="N402" s="180"/>
      <c r="O402" s="180"/>
      <c r="P402" s="180"/>
      <c r="AS402" s="180"/>
      <c r="AT402" s="180"/>
      <c r="AU402" s="180"/>
      <c r="AV402" s="180"/>
      <c r="AW402" s="180"/>
      <c r="AX402" s="180"/>
      <c r="AY402" s="180"/>
      <c r="AZ402" s="180"/>
      <c r="BA402" s="180"/>
      <c r="BB402" s="180"/>
      <c r="BC402" s="180"/>
      <c r="BD402" s="180"/>
      <c r="BE402" s="180"/>
      <c r="BF402" s="180"/>
      <c r="BG402" s="180"/>
      <c r="BH402" s="180"/>
      <c r="BI402" s="180"/>
      <c r="BJ402" s="180"/>
      <c r="BK402" s="180"/>
      <c r="BL402" s="180"/>
      <c r="BM402" s="180"/>
      <c r="BN402" s="180"/>
      <c r="BO402" s="180"/>
      <c r="BP402" s="180"/>
      <c r="BQ402" s="180"/>
      <c r="BR402" s="180"/>
      <c r="BS402" s="180"/>
      <c r="BT402" s="180"/>
      <c r="BU402" s="180"/>
      <c r="BV402" s="180"/>
      <c r="BW402" s="180"/>
      <c r="BX402" s="180"/>
      <c r="BY402" s="180"/>
      <c r="BZ402" s="180"/>
      <c r="CA402" s="180"/>
      <c r="CB402" s="180"/>
      <c r="CC402" s="180"/>
      <c r="CD402" s="180"/>
      <c r="CE402" s="180"/>
      <c r="CF402" s="180"/>
      <c r="CG402" s="180"/>
      <c r="CH402" s="180"/>
      <c r="CI402" s="180"/>
      <c r="CJ402" s="180"/>
      <c r="CK402" s="180"/>
      <c r="CL402" s="180"/>
      <c r="CM402" s="180"/>
      <c r="CN402" s="180"/>
      <c r="CO402" s="180"/>
      <c r="CP402" s="180"/>
      <c r="CQ402" s="180"/>
      <c r="CR402" s="180"/>
      <c r="CS402" s="180"/>
      <c r="CT402" s="180"/>
      <c r="CU402" s="180"/>
      <c r="CV402" s="180"/>
      <c r="CW402" s="180"/>
      <c r="CX402" s="180"/>
      <c r="CY402" s="180"/>
      <c r="CZ402" s="180"/>
    </row>
    <row r="403" spans="1:104" x14ac:dyDescent="0.45">
      <c r="A403" s="180" t="s">
        <v>3</v>
      </c>
      <c r="B403" s="73">
        <v>2</v>
      </c>
      <c r="C403" s="73"/>
      <c r="D403" s="180" t="s">
        <v>128</v>
      </c>
      <c r="E403" s="39">
        <v>43588</v>
      </c>
      <c r="F403" s="179">
        <v>0.50069444444444444</v>
      </c>
      <c r="G403" s="180">
        <v>3</v>
      </c>
      <c r="H403" s="180"/>
      <c r="I403" s="180"/>
      <c r="J403" s="180"/>
      <c r="K403" s="180"/>
      <c r="L403" s="180"/>
      <c r="M403" s="180"/>
      <c r="N403" s="180"/>
      <c r="O403" s="180"/>
      <c r="P403" s="180"/>
      <c r="AS403" s="180"/>
      <c r="AT403" s="180"/>
      <c r="AU403" s="180"/>
      <c r="AV403" s="180"/>
      <c r="AW403" s="180"/>
      <c r="AX403" s="180"/>
      <c r="AY403" s="180"/>
      <c r="AZ403" s="180"/>
      <c r="BA403" s="180"/>
      <c r="BB403" s="180"/>
      <c r="BC403" s="180"/>
      <c r="BD403" s="180"/>
      <c r="BE403" s="180"/>
      <c r="BF403" s="180"/>
      <c r="BG403" s="180"/>
      <c r="BH403" s="180"/>
      <c r="BI403" s="180"/>
      <c r="BJ403" s="180"/>
      <c r="BK403" s="180"/>
      <c r="BL403" s="180"/>
      <c r="BM403" s="180"/>
      <c r="BN403" s="180"/>
      <c r="BO403" s="180"/>
      <c r="BP403" s="180"/>
      <c r="BQ403" s="180"/>
      <c r="BR403" s="180"/>
      <c r="BS403" s="180"/>
      <c r="BT403" s="180"/>
      <c r="BU403" s="180"/>
      <c r="BV403" s="180"/>
      <c r="BW403" s="180"/>
      <c r="BX403" s="180"/>
      <c r="BY403" s="180"/>
      <c r="BZ403" s="180"/>
      <c r="CA403" s="180"/>
      <c r="CB403" s="180"/>
      <c r="CC403" s="180"/>
      <c r="CD403" s="180"/>
      <c r="CE403" s="180"/>
      <c r="CF403" s="180"/>
      <c r="CG403" s="180"/>
      <c r="CH403" s="180"/>
      <c r="CI403" s="180"/>
      <c r="CJ403" s="180"/>
      <c r="CK403" s="180"/>
      <c r="CL403" s="180"/>
      <c r="CM403" s="180"/>
      <c r="CN403" s="180"/>
      <c r="CO403" s="180"/>
      <c r="CP403" s="180"/>
      <c r="CQ403" s="180"/>
      <c r="CR403" s="180"/>
      <c r="CS403" s="180"/>
      <c r="CT403" s="180"/>
      <c r="CU403" s="180"/>
      <c r="CV403" s="180"/>
      <c r="CW403" s="180"/>
      <c r="CX403" s="180"/>
      <c r="CY403" s="180"/>
      <c r="CZ403" s="180"/>
    </row>
    <row r="404" spans="1:104" x14ac:dyDescent="0.45">
      <c r="A404" s="180" t="s">
        <v>3</v>
      </c>
      <c r="B404" s="73">
        <v>1</v>
      </c>
      <c r="C404" s="73">
        <v>1</v>
      </c>
      <c r="D404" s="180" t="s">
        <v>422</v>
      </c>
      <c r="E404" s="39">
        <v>43588</v>
      </c>
      <c r="F404" s="179">
        <v>0.60416666666666663</v>
      </c>
      <c r="G404" s="180">
        <v>3</v>
      </c>
      <c r="H404" s="180" t="s">
        <v>427</v>
      </c>
      <c r="I404" s="180"/>
      <c r="J404" s="180"/>
      <c r="K404" s="180"/>
      <c r="L404" s="180"/>
      <c r="M404" s="180"/>
      <c r="N404" s="180"/>
      <c r="O404" s="180"/>
      <c r="P404" s="180"/>
      <c r="AS404" s="180"/>
      <c r="AT404" s="180"/>
      <c r="AU404" s="180"/>
      <c r="AV404" s="180"/>
      <c r="AW404" s="180"/>
      <c r="AX404" s="180"/>
      <c r="AY404" s="180"/>
      <c r="AZ404" s="180"/>
      <c r="BA404" s="180"/>
      <c r="BB404" s="180"/>
      <c r="BC404" s="180"/>
      <c r="BD404" s="180"/>
      <c r="BE404" s="180"/>
      <c r="BF404" s="180"/>
      <c r="BG404" s="180"/>
      <c r="BH404" s="180"/>
      <c r="BI404" s="180"/>
      <c r="BJ404" s="180"/>
      <c r="BK404" s="180"/>
      <c r="BL404" s="180"/>
      <c r="BM404" s="180"/>
      <c r="BN404" s="180"/>
      <c r="BO404" s="180"/>
      <c r="BP404" s="180"/>
      <c r="BQ404" s="180"/>
      <c r="BR404" s="180"/>
      <c r="BS404" s="180"/>
      <c r="BT404" s="180"/>
      <c r="BU404" s="180"/>
      <c r="BV404" s="180"/>
      <c r="BW404" s="180"/>
      <c r="BX404" s="180"/>
      <c r="BY404" s="180"/>
      <c r="BZ404" s="180"/>
      <c r="CA404" s="180"/>
      <c r="CB404" s="180"/>
      <c r="CC404" s="180"/>
      <c r="CD404" s="180"/>
      <c r="CE404" s="180"/>
      <c r="CF404" s="180"/>
      <c r="CG404" s="180"/>
      <c r="CH404" s="180"/>
      <c r="CI404" s="180"/>
      <c r="CJ404" s="180"/>
      <c r="CK404" s="180"/>
      <c r="CL404" s="180"/>
      <c r="CM404" s="180"/>
      <c r="CN404" s="180"/>
      <c r="CO404" s="180"/>
      <c r="CP404" s="180"/>
      <c r="CQ404" s="180"/>
      <c r="CR404" s="180"/>
      <c r="CS404" s="180"/>
      <c r="CT404" s="180"/>
      <c r="CU404" s="180"/>
      <c r="CV404" s="180"/>
      <c r="CW404" s="180"/>
      <c r="CX404" s="180"/>
      <c r="CY404" s="180"/>
      <c r="CZ404" s="180"/>
    </row>
    <row r="405" spans="1:104" x14ac:dyDescent="0.45">
      <c r="A405" s="180" t="s">
        <v>3</v>
      </c>
      <c r="B405" s="73">
        <v>1</v>
      </c>
      <c r="C405" s="73"/>
      <c r="D405" s="180" t="s">
        <v>425</v>
      </c>
      <c r="E405" s="39">
        <v>43589</v>
      </c>
      <c r="F405" s="179">
        <v>0.39166666666666666</v>
      </c>
      <c r="G405" s="180">
        <v>1</v>
      </c>
      <c r="H405" s="180"/>
      <c r="I405" s="180"/>
      <c r="J405" s="180"/>
      <c r="K405" s="180"/>
      <c r="L405" s="180"/>
      <c r="M405" s="180"/>
      <c r="N405" s="180"/>
      <c r="O405" s="180"/>
      <c r="P405" s="180"/>
      <c r="AS405" s="180"/>
      <c r="AT405" s="180"/>
      <c r="AU405" s="180"/>
      <c r="AV405" s="180"/>
      <c r="AW405" s="180"/>
      <c r="AX405" s="180"/>
      <c r="AY405" s="180"/>
      <c r="AZ405" s="180"/>
      <c r="BA405" s="180"/>
      <c r="BB405" s="180"/>
      <c r="BC405" s="180"/>
      <c r="BD405" s="180"/>
      <c r="BE405" s="180"/>
      <c r="BF405" s="180"/>
      <c r="BG405" s="180"/>
      <c r="BH405" s="180"/>
      <c r="BI405" s="180"/>
      <c r="BJ405" s="180"/>
      <c r="BK405" s="180"/>
      <c r="BL405" s="180"/>
      <c r="BM405" s="180"/>
      <c r="BN405" s="180"/>
      <c r="BO405" s="180"/>
      <c r="BP405" s="180"/>
      <c r="BQ405" s="180"/>
      <c r="BR405" s="180"/>
      <c r="BS405" s="180"/>
      <c r="BT405" s="180"/>
      <c r="BU405" s="180"/>
      <c r="BV405" s="180"/>
      <c r="BW405" s="180"/>
      <c r="BX405" s="180"/>
      <c r="BY405" s="180"/>
      <c r="BZ405" s="180"/>
      <c r="CA405" s="180"/>
      <c r="CB405" s="180"/>
      <c r="CC405" s="180"/>
      <c r="CD405" s="180"/>
      <c r="CE405" s="180"/>
      <c r="CF405" s="180"/>
      <c r="CG405" s="180"/>
      <c r="CH405" s="180"/>
      <c r="CI405" s="180"/>
      <c r="CJ405" s="180"/>
      <c r="CK405" s="180"/>
      <c r="CL405" s="180"/>
      <c r="CM405" s="180"/>
      <c r="CN405" s="180"/>
      <c r="CO405" s="180"/>
      <c r="CP405" s="180"/>
      <c r="CQ405" s="180"/>
      <c r="CR405" s="180"/>
      <c r="CS405" s="180"/>
      <c r="CT405" s="180"/>
      <c r="CU405" s="180"/>
      <c r="CV405" s="180"/>
      <c r="CW405" s="180"/>
      <c r="CX405" s="180"/>
      <c r="CY405" s="180"/>
      <c r="CZ405" s="180"/>
    </row>
    <row r="406" spans="1:104" x14ac:dyDescent="0.45">
      <c r="A406" s="180" t="s">
        <v>3</v>
      </c>
      <c r="B406" s="73">
        <v>1</v>
      </c>
      <c r="C406" s="73"/>
      <c r="D406" s="180" t="s">
        <v>425</v>
      </c>
      <c r="E406" s="39">
        <v>43589</v>
      </c>
      <c r="F406" s="179">
        <v>0.72291666666666676</v>
      </c>
      <c r="G406" s="180">
        <v>1</v>
      </c>
      <c r="H406" s="180"/>
      <c r="I406" s="180"/>
      <c r="J406" s="180"/>
      <c r="K406" s="180"/>
      <c r="L406" s="180"/>
      <c r="M406" s="180"/>
      <c r="N406" s="180"/>
      <c r="O406" s="180"/>
      <c r="P406" s="180"/>
      <c r="AS406" s="180"/>
      <c r="AT406" s="180"/>
      <c r="AU406" s="180"/>
      <c r="AV406" s="180"/>
      <c r="AW406" s="180"/>
      <c r="AX406" s="180"/>
      <c r="AY406" s="180"/>
      <c r="AZ406" s="180"/>
      <c r="BA406" s="180"/>
      <c r="BB406" s="180"/>
      <c r="BC406" s="180"/>
      <c r="BD406" s="180"/>
      <c r="BE406" s="180"/>
      <c r="BF406" s="180"/>
      <c r="BG406" s="180"/>
      <c r="BH406" s="180"/>
      <c r="BI406" s="180"/>
      <c r="BJ406" s="180"/>
      <c r="BK406" s="180"/>
      <c r="BL406" s="180"/>
      <c r="BM406" s="180"/>
      <c r="BN406" s="180"/>
      <c r="BO406" s="180"/>
      <c r="BP406" s="180"/>
      <c r="BQ406" s="180"/>
      <c r="BR406" s="180"/>
      <c r="BS406" s="180"/>
      <c r="BT406" s="180"/>
      <c r="BU406" s="180"/>
      <c r="BV406" s="180"/>
      <c r="BW406" s="180"/>
      <c r="BX406" s="180"/>
      <c r="BY406" s="180"/>
      <c r="BZ406" s="180"/>
      <c r="CA406" s="180"/>
      <c r="CB406" s="180"/>
      <c r="CC406" s="180"/>
      <c r="CD406" s="180"/>
      <c r="CE406" s="180"/>
      <c r="CF406" s="180"/>
      <c r="CG406" s="180"/>
      <c r="CH406" s="180"/>
      <c r="CI406" s="180"/>
      <c r="CJ406" s="180"/>
      <c r="CK406" s="180"/>
      <c r="CL406" s="180"/>
      <c r="CM406" s="180"/>
      <c r="CN406" s="180"/>
      <c r="CO406" s="180"/>
      <c r="CP406" s="180"/>
      <c r="CQ406" s="180"/>
      <c r="CR406" s="180"/>
      <c r="CS406" s="180"/>
      <c r="CT406" s="180"/>
      <c r="CU406" s="180"/>
      <c r="CV406" s="180"/>
      <c r="CW406" s="180"/>
      <c r="CX406" s="180"/>
      <c r="CY406" s="180"/>
      <c r="CZ406" s="180"/>
    </row>
    <row r="407" spans="1:104" x14ac:dyDescent="0.45">
      <c r="A407" s="180" t="s">
        <v>3</v>
      </c>
      <c r="B407" s="73">
        <v>2</v>
      </c>
      <c r="C407" s="73">
        <v>2</v>
      </c>
      <c r="D407" s="180" t="s">
        <v>296</v>
      </c>
      <c r="E407" s="39">
        <v>43589</v>
      </c>
      <c r="F407" s="179">
        <v>0.65625</v>
      </c>
      <c r="G407" s="180">
        <v>1</v>
      </c>
      <c r="H407" s="180"/>
      <c r="I407" s="180"/>
      <c r="J407" s="180"/>
      <c r="K407" s="180"/>
      <c r="L407" s="180"/>
      <c r="M407" s="180"/>
      <c r="N407" s="180"/>
      <c r="O407" s="180"/>
      <c r="P407" s="180"/>
      <c r="AS407" s="180"/>
      <c r="AT407" s="180"/>
      <c r="AU407" s="180"/>
      <c r="AV407" s="180"/>
      <c r="AW407" s="180"/>
      <c r="AX407" s="180"/>
      <c r="AY407" s="180"/>
      <c r="AZ407" s="180"/>
      <c r="BA407" s="180"/>
      <c r="BB407" s="180"/>
      <c r="BC407" s="180"/>
      <c r="BD407" s="180"/>
      <c r="BE407" s="180"/>
      <c r="BF407" s="180"/>
      <c r="BG407" s="180"/>
      <c r="BH407" s="180"/>
      <c r="BI407" s="180"/>
      <c r="BJ407" s="180"/>
      <c r="BK407" s="180"/>
      <c r="BL407" s="180"/>
      <c r="BM407" s="180"/>
      <c r="BN407" s="180"/>
      <c r="BO407" s="180"/>
      <c r="BP407" s="180"/>
      <c r="BQ407" s="180"/>
      <c r="BR407" s="180"/>
      <c r="BS407" s="180"/>
      <c r="BT407" s="180"/>
      <c r="BU407" s="180"/>
      <c r="BV407" s="180"/>
      <c r="BW407" s="180"/>
      <c r="BX407" s="180"/>
      <c r="BY407" s="180"/>
      <c r="BZ407" s="180"/>
      <c r="CA407" s="180"/>
      <c r="CB407" s="180"/>
      <c r="CC407" s="180"/>
      <c r="CD407" s="180"/>
      <c r="CE407" s="180"/>
      <c r="CF407" s="180"/>
      <c r="CG407" s="180"/>
      <c r="CH407" s="180"/>
      <c r="CI407" s="180"/>
      <c r="CJ407" s="180"/>
      <c r="CK407" s="180"/>
      <c r="CL407" s="180"/>
      <c r="CM407" s="180"/>
      <c r="CN407" s="180"/>
      <c r="CO407" s="180"/>
      <c r="CP407" s="180"/>
      <c r="CQ407" s="180"/>
      <c r="CR407" s="180"/>
      <c r="CS407" s="180"/>
      <c r="CT407" s="180"/>
      <c r="CU407" s="180"/>
      <c r="CV407" s="180"/>
      <c r="CW407" s="180"/>
      <c r="CX407" s="180"/>
      <c r="CY407" s="180"/>
      <c r="CZ407" s="180"/>
    </row>
    <row r="408" spans="1:104" x14ac:dyDescent="0.45">
      <c r="A408" s="180" t="s">
        <v>3</v>
      </c>
      <c r="B408" s="73">
        <v>3</v>
      </c>
      <c r="C408" s="73"/>
      <c r="D408" s="180" t="s">
        <v>428</v>
      </c>
      <c r="E408" s="39">
        <v>43589</v>
      </c>
      <c r="F408" s="179">
        <v>0.45833333333333331</v>
      </c>
      <c r="G408" s="180">
        <v>1</v>
      </c>
      <c r="H408" s="180"/>
      <c r="I408" s="180"/>
      <c r="J408" s="180"/>
      <c r="K408" s="180"/>
      <c r="L408" s="180"/>
      <c r="M408" s="180"/>
      <c r="N408" s="180"/>
      <c r="O408" s="180"/>
      <c r="P408" s="180"/>
      <c r="AS408" s="180"/>
      <c r="AT408" s="180"/>
      <c r="AU408" s="180"/>
      <c r="AV408" s="180"/>
      <c r="AW408" s="180"/>
      <c r="AX408" s="180"/>
      <c r="AY408" s="180"/>
      <c r="AZ408" s="180"/>
      <c r="BA408" s="180"/>
      <c r="BB408" s="180"/>
      <c r="BC408" s="180"/>
      <c r="BD408" s="180"/>
      <c r="BE408" s="180"/>
      <c r="BF408" s="180"/>
      <c r="BG408" s="180"/>
      <c r="BH408" s="180"/>
      <c r="BI408" s="180"/>
      <c r="BJ408" s="180"/>
      <c r="BK408" s="180"/>
      <c r="BL408" s="180"/>
      <c r="BM408" s="180"/>
      <c r="BN408" s="180"/>
      <c r="BO408" s="180"/>
      <c r="BP408" s="180"/>
      <c r="BQ408" s="180"/>
      <c r="BR408" s="180"/>
      <c r="BS408" s="180"/>
      <c r="BT408" s="180"/>
      <c r="BU408" s="180"/>
      <c r="BV408" s="180"/>
      <c r="BW408" s="180"/>
      <c r="BX408" s="180"/>
      <c r="BY408" s="180"/>
      <c r="BZ408" s="180"/>
      <c r="CA408" s="180"/>
      <c r="CB408" s="180"/>
      <c r="CC408" s="180"/>
      <c r="CD408" s="180"/>
      <c r="CE408" s="180"/>
      <c r="CF408" s="180"/>
      <c r="CG408" s="180"/>
      <c r="CH408" s="180"/>
      <c r="CI408" s="180"/>
      <c r="CJ408" s="180"/>
      <c r="CK408" s="180"/>
      <c r="CL408" s="180"/>
      <c r="CM408" s="180"/>
      <c r="CN408" s="180"/>
      <c r="CO408" s="180"/>
      <c r="CP408" s="180"/>
      <c r="CQ408" s="180"/>
      <c r="CR408" s="180"/>
      <c r="CS408" s="180"/>
      <c r="CT408" s="180"/>
      <c r="CU408" s="180"/>
      <c r="CV408" s="180"/>
      <c r="CW408" s="180"/>
      <c r="CX408" s="180"/>
      <c r="CY408" s="180"/>
      <c r="CZ408" s="180"/>
    </row>
    <row r="409" spans="1:104" x14ac:dyDescent="0.45">
      <c r="A409" s="180" t="s">
        <v>3</v>
      </c>
      <c r="B409" s="73">
        <v>2</v>
      </c>
      <c r="C409" s="73">
        <v>2</v>
      </c>
      <c r="D409" s="180" t="s">
        <v>271</v>
      </c>
      <c r="E409" s="39">
        <v>43588</v>
      </c>
      <c r="F409" s="179">
        <v>0.67708333333333337</v>
      </c>
      <c r="G409" s="180">
        <v>3</v>
      </c>
      <c r="H409" s="180" t="s">
        <v>312</v>
      </c>
      <c r="I409" s="180"/>
      <c r="J409" s="180"/>
      <c r="K409" s="180"/>
      <c r="L409" s="180"/>
      <c r="M409" s="180"/>
      <c r="N409" s="180"/>
      <c r="O409" s="180"/>
      <c r="P409" s="180"/>
      <c r="AS409" s="180"/>
      <c r="AT409" s="180"/>
      <c r="AU409" s="180"/>
      <c r="AV409" s="180"/>
      <c r="AW409" s="180"/>
      <c r="AX409" s="180"/>
      <c r="AY409" s="180"/>
      <c r="AZ409" s="180"/>
      <c r="BA409" s="180"/>
      <c r="BB409" s="180"/>
      <c r="BC409" s="180"/>
      <c r="BD409" s="180"/>
      <c r="BE409" s="180"/>
      <c r="BF409" s="180"/>
      <c r="BG409" s="180"/>
      <c r="BH409" s="180"/>
      <c r="BI409" s="180"/>
      <c r="BJ409" s="180"/>
      <c r="BK409" s="180"/>
      <c r="BL409" s="180"/>
      <c r="BM409" s="180"/>
      <c r="BN409" s="180"/>
      <c r="BO409" s="180"/>
      <c r="BP409" s="180"/>
      <c r="BQ409" s="180"/>
      <c r="BR409" s="180"/>
      <c r="BS409" s="180"/>
      <c r="BT409" s="180"/>
      <c r="BU409" s="180"/>
      <c r="BV409" s="180"/>
      <c r="BW409" s="180"/>
      <c r="BX409" s="180"/>
      <c r="BY409" s="180"/>
      <c r="BZ409" s="180"/>
      <c r="CA409" s="180"/>
      <c r="CB409" s="180"/>
      <c r="CC409" s="180"/>
      <c r="CD409" s="180"/>
      <c r="CE409" s="180"/>
      <c r="CF409" s="180"/>
      <c r="CG409" s="180"/>
      <c r="CH409" s="180"/>
      <c r="CI409" s="180"/>
      <c r="CJ409" s="180"/>
      <c r="CK409" s="180"/>
      <c r="CL409" s="180"/>
      <c r="CM409" s="180"/>
      <c r="CN409" s="180"/>
      <c r="CO409" s="180"/>
      <c r="CP409" s="180"/>
      <c r="CQ409" s="180"/>
      <c r="CR409" s="180"/>
      <c r="CS409" s="180"/>
      <c r="CT409" s="180"/>
      <c r="CU409" s="180"/>
      <c r="CV409" s="180"/>
      <c r="CW409" s="180"/>
      <c r="CX409" s="180"/>
      <c r="CY409" s="180"/>
      <c r="CZ409" s="180"/>
    </row>
    <row r="410" spans="1:104" x14ac:dyDescent="0.45">
      <c r="A410" s="180" t="s">
        <v>3</v>
      </c>
      <c r="B410" s="73">
        <v>3</v>
      </c>
      <c r="C410" s="73">
        <v>3</v>
      </c>
      <c r="D410" s="180" t="s">
        <v>271</v>
      </c>
      <c r="E410" s="39">
        <v>43589</v>
      </c>
      <c r="F410" s="179">
        <v>0.4284722222222222</v>
      </c>
      <c r="G410" s="180">
        <v>1</v>
      </c>
      <c r="H410" s="180"/>
      <c r="I410" s="180"/>
      <c r="J410" s="180"/>
      <c r="K410" s="180"/>
      <c r="L410" s="180"/>
      <c r="M410" s="180"/>
      <c r="N410" s="180"/>
      <c r="O410" s="180"/>
      <c r="P410" s="180"/>
      <c r="AS410" s="180"/>
      <c r="AT410" s="180"/>
      <c r="AU410" s="180"/>
      <c r="AV410" s="180"/>
      <c r="AW410" s="180"/>
      <c r="AX410" s="180"/>
      <c r="AY410" s="180"/>
      <c r="AZ410" s="180"/>
      <c r="BA410" s="180"/>
      <c r="BB410" s="180"/>
      <c r="BC410" s="180"/>
      <c r="BD410" s="180"/>
      <c r="BE410" s="180"/>
      <c r="BF410" s="180"/>
      <c r="BG410" s="180"/>
      <c r="BH410" s="180"/>
      <c r="BI410" s="180"/>
      <c r="BJ410" s="180"/>
      <c r="BK410" s="180"/>
      <c r="BL410" s="180"/>
      <c r="BM410" s="180"/>
      <c r="BN410" s="180"/>
      <c r="BO410" s="180"/>
      <c r="BP410" s="180"/>
      <c r="BQ410" s="180"/>
      <c r="BR410" s="180"/>
      <c r="BS410" s="180"/>
      <c r="BT410" s="180"/>
      <c r="BU410" s="180"/>
      <c r="BV410" s="180"/>
      <c r="BW410" s="180"/>
      <c r="BX410" s="180"/>
      <c r="BY410" s="180"/>
      <c r="BZ410" s="180"/>
      <c r="CA410" s="180"/>
      <c r="CB410" s="180"/>
      <c r="CC410" s="180"/>
      <c r="CD410" s="180"/>
      <c r="CE410" s="180"/>
      <c r="CF410" s="180"/>
      <c r="CG410" s="180"/>
      <c r="CH410" s="180"/>
      <c r="CI410" s="180"/>
      <c r="CJ410" s="180"/>
      <c r="CK410" s="180"/>
      <c r="CL410" s="180"/>
      <c r="CM410" s="180"/>
      <c r="CN410" s="180"/>
      <c r="CO410" s="180"/>
      <c r="CP410" s="180"/>
      <c r="CQ410" s="180"/>
      <c r="CR410" s="180"/>
      <c r="CS410" s="180"/>
      <c r="CT410" s="180"/>
      <c r="CU410" s="180"/>
      <c r="CV410" s="180"/>
      <c r="CW410" s="180"/>
      <c r="CX410" s="180"/>
      <c r="CY410" s="180"/>
      <c r="CZ410" s="180"/>
    </row>
    <row r="411" spans="1:104" x14ac:dyDescent="0.45">
      <c r="A411" s="180" t="s">
        <v>3</v>
      </c>
      <c r="B411" s="73">
        <v>1</v>
      </c>
      <c r="C411" s="73"/>
      <c r="D411" s="180" t="s">
        <v>271</v>
      </c>
      <c r="E411" s="39">
        <v>43589</v>
      </c>
      <c r="F411" s="179">
        <v>0.73541666666666661</v>
      </c>
      <c r="G411" s="180">
        <v>1</v>
      </c>
      <c r="H411" s="180"/>
      <c r="I411" s="180"/>
      <c r="J411" s="180"/>
      <c r="K411" s="180"/>
      <c r="L411" s="180"/>
      <c r="M411" s="180"/>
      <c r="N411" s="180"/>
      <c r="O411" s="180"/>
      <c r="P411" s="180"/>
      <c r="AS411" s="180"/>
      <c r="AT411" s="180"/>
      <c r="AU411" s="180"/>
      <c r="AV411" s="180"/>
      <c r="AW411" s="180"/>
      <c r="AX411" s="180"/>
      <c r="AY411" s="180"/>
      <c r="AZ411" s="180"/>
      <c r="BA411" s="180"/>
      <c r="BB411" s="180"/>
      <c r="BC411" s="180"/>
      <c r="BD411" s="180"/>
      <c r="BE411" s="180"/>
      <c r="BF411" s="180"/>
      <c r="BG411" s="180"/>
      <c r="BH411" s="180"/>
      <c r="BI411" s="180"/>
      <c r="BJ411" s="180"/>
      <c r="BK411" s="180"/>
      <c r="BL411" s="180"/>
      <c r="BM411" s="180"/>
      <c r="BN411" s="180"/>
      <c r="BO411" s="180"/>
      <c r="BP411" s="180"/>
      <c r="BQ411" s="180"/>
      <c r="BR411" s="180"/>
      <c r="BS411" s="180"/>
      <c r="BT411" s="180"/>
      <c r="BU411" s="180"/>
      <c r="BV411" s="180"/>
      <c r="BW411" s="180"/>
      <c r="BX411" s="180"/>
      <c r="BY411" s="180"/>
      <c r="BZ411" s="180"/>
      <c r="CA411" s="180"/>
      <c r="CB411" s="180"/>
      <c r="CC411" s="180"/>
      <c r="CD411" s="180"/>
      <c r="CE411" s="180"/>
      <c r="CF411" s="180"/>
      <c r="CG411" s="180"/>
      <c r="CH411" s="180"/>
      <c r="CI411" s="180"/>
      <c r="CJ411" s="180"/>
      <c r="CK411" s="180"/>
      <c r="CL411" s="180"/>
      <c r="CM411" s="180"/>
      <c r="CN411" s="180"/>
      <c r="CO411" s="180"/>
      <c r="CP411" s="180"/>
      <c r="CQ411" s="180"/>
      <c r="CR411" s="180"/>
      <c r="CS411" s="180"/>
      <c r="CT411" s="180"/>
      <c r="CU411" s="180"/>
      <c r="CV411" s="180"/>
      <c r="CW411" s="180"/>
      <c r="CX411" s="180"/>
      <c r="CY411" s="180"/>
      <c r="CZ411" s="180"/>
    </row>
    <row r="412" spans="1:104" x14ac:dyDescent="0.45">
      <c r="A412" s="180" t="s">
        <v>3</v>
      </c>
      <c r="B412" s="73">
        <v>2</v>
      </c>
      <c r="C412" s="73"/>
      <c r="D412" s="180" t="s">
        <v>271</v>
      </c>
      <c r="E412" s="39">
        <v>43589</v>
      </c>
      <c r="F412" s="179">
        <v>0.43124999999999997</v>
      </c>
      <c r="G412" s="180">
        <v>1</v>
      </c>
      <c r="H412" s="180"/>
      <c r="I412" s="180"/>
      <c r="J412" s="180"/>
      <c r="K412" s="180"/>
      <c r="L412" s="180"/>
      <c r="M412" s="180"/>
      <c r="N412" s="180"/>
      <c r="O412" s="180"/>
      <c r="P412" s="180"/>
      <c r="AS412" s="180"/>
      <c r="AT412" s="180"/>
      <c r="AU412" s="180"/>
      <c r="AV412" s="180"/>
      <c r="AW412" s="180"/>
      <c r="AX412" s="180"/>
      <c r="AY412" s="180"/>
      <c r="AZ412" s="180"/>
      <c r="BA412" s="180"/>
      <c r="BB412" s="180"/>
      <c r="BC412" s="180"/>
      <c r="BD412" s="180"/>
      <c r="BE412" s="180"/>
      <c r="BF412" s="180"/>
      <c r="BG412" s="180"/>
      <c r="BH412" s="180"/>
      <c r="BI412" s="180"/>
      <c r="BJ412" s="180"/>
      <c r="BK412" s="180"/>
      <c r="BL412" s="180"/>
      <c r="BM412" s="180"/>
      <c r="BN412" s="180"/>
      <c r="BO412" s="180"/>
      <c r="BP412" s="180"/>
      <c r="BQ412" s="180"/>
      <c r="BR412" s="180"/>
      <c r="BS412" s="180"/>
      <c r="BT412" s="180"/>
      <c r="BU412" s="180"/>
      <c r="BV412" s="180"/>
      <c r="BW412" s="180"/>
      <c r="BX412" s="180"/>
      <c r="BY412" s="180"/>
      <c r="BZ412" s="180"/>
      <c r="CA412" s="180"/>
      <c r="CB412" s="180"/>
      <c r="CC412" s="180"/>
      <c r="CD412" s="180"/>
      <c r="CE412" s="180"/>
      <c r="CF412" s="180"/>
      <c r="CG412" s="180"/>
      <c r="CH412" s="180"/>
      <c r="CI412" s="180"/>
      <c r="CJ412" s="180"/>
      <c r="CK412" s="180"/>
      <c r="CL412" s="180"/>
      <c r="CM412" s="180"/>
      <c r="CN412" s="180"/>
      <c r="CO412" s="180"/>
      <c r="CP412" s="180"/>
      <c r="CQ412" s="180"/>
      <c r="CR412" s="180"/>
      <c r="CS412" s="180"/>
      <c r="CT412" s="180"/>
      <c r="CU412" s="180"/>
      <c r="CV412" s="180"/>
      <c r="CW412" s="180"/>
      <c r="CX412" s="180"/>
      <c r="CY412" s="180"/>
      <c r="CZ412" s="180"/>
    </row>
    <row r="413" spans="1:104" x14ac:dyDescent="0.45">
      <c r="A413" s="180" t="s">
        <v>3</v>
      </c>
      <c r="B413" s="73">
        <v>3</v>
      </c>
      <c r="C413" s="73"/>
      <c r="D413" s="180" t="s">
        <v>271</v>
      </c>
      <c r="E413" s="39">
        <v>43589</v>
      </c>
      <c r="F413" s="179">
        <v>0.45833333333333331</v>
      </c>
      <c r="G413" s="180">
        <v>1</v>
      </c>
      <c r="H413" s="180"/>
      <c r="I413" s="180"/>
      <c r="J413" s="180"/>
      <c r="K413" s="180"/>
      <c r="L413" s="180"/>
      <c r="M413" s="180"/>
      <c r="N413" s="180"/>
      <c r="O413" s="180"/>
      <c r="P413" s="180"/>
      <c r="AS413" s="180"/>
      <c r="AT413" s="180"/>
      <c r="AU413" s="180"/>
      <c r="AV413" s="180"/>
      <c r="AW413" s="180"/>
      <c r="AX413" s="180"/>
      <c r="AY413" s="180"/>
      <c r="AZ413" s="180"/>
      <c r="BA413" s="180"/>
      <c r="BB413" s="180"/>
      <c r="BC413" s="180"/>
      <c r="BD413" s="180"/>
      <c r="BE413" s="180"/>
      <c r="BF413" s="180"/>
      <c r="BG413" s="180"/>
      <c r="BH413" s="180"/>
      <c r="BI413" s="180"/>
      <c r="BJ413" s="180"/>
      <c r="BK413" s="180"/>
      <c r="BL413" s="180"/>
      <c r="BM413" s="180"/>
      <c r="BN413" s="180"/>
      <c r="BO413" s="180"/>
      <c r="BP413" s="180"/>
      <c r="BQ413" s="180"/>
      <c r="BR413" s="180"/>
      <c r="BS413" s="180"/>
      <c r="BT413" s="180"/>
      <c r="BU413" s="180"/>
      <c r="BV413" s="180"/>
      <c r="BW413" s="180"/>
      <c r="BX413" s="180"/>
      <c r="BY413" s="180"/>
      <c r="BZ413" s="180"/>
      <c r="CA413" s="180"/>
      <c r="CB413" s="180"/>
      <c r="CC413" s="180"/>
      <c r="CD413" s="180"/>
      <c r="CE413" s="180"/>
      <c r="CF413" s="180"/>
      <c r="CG413" s="180"/>
      <c r="CH413" s="180"/>
      <c r="CI413" s="180"/>
      <c r="CJ413" s="180"/>
      <c r="CK413" s="180"/>
      <c r="CL413" s="180"/>
      <c r="CM413" s="180"/>
      <c r="CN413" s="180"/>
      <c r="CO413" s="180"/>
      <c r="CP413" s="180"/>
      <c r="CQ413" s="180"/>
      <c r="CR413" s="180"/>
      <c r="CS413" s="180"/>
      <c r="CT413" s="180"/>
      <c r="CU413" s="180"/>
      <c r="CV413" s="180"/>
      <c r="CW413" s="180"/>
      <c r="CX413" s="180"/>
      <c r="CY413" s="180"/>
      <c r="CZ413" s="180"/>
    </row>
    <row r="414" spans="1:104" x14ac:dyDescent="0.45">
      <c r="A414" s="180" t="s">
        <v>3</v>
      </c>
      <c r="B414" s="73">
        <v>2</v>
      </c>
      <c r="C414" s="73"/>
      <c r="D414" s="180" t="s">
        <v>415</v>
      </c>
      <c r="E414" s="39">
        <v>43589</v>
      </c>
      <c r="F414" s="179">
        <v>0.47222222222222227</v>
      </c>
      <c r="G414" s="180">
        <v>2</v>
      </c>
      <c r="H414" s="180"/>
      <c r="I414" s="180"/>
      <c r="J414" s="180"/>
      <c r="K414" s="180"/>
      <c r="L414" s="180"/>
      <c r="M414" s="180"/>
      <c r="N414" s="180"/>
      <c r="O414" s="180"/>
      <c r="P414" s="180"/>
      <c r="AS414" s="180"/>
      <c r="AT414" s="180"/>
      <c r="AU414" s="180"/>
      <c r="AV414" s="180"/>
      <c r="AW414" s="180"/>
      <c r="AX414" s="180"/>
      <c r="AY414" s="180"/>
      <c r="AZ414" s="180"/>
      <c r="BA414" s="180"/>
      <c r="BB414" s="180"/>
      <c r="BC414" s="180"/>
      <c r="BD414" s="180"/>
      <c r="BE414" s="180"/>
      <c r="BF414" s="180"/>
      <c r="BG414" s="180"/>
      <c r="BH414" s="180"/>
      <c r="BI414" s="180"/>
      <c r="BJ414" s="180"/>
      <c r="BK414" s="180"/>
      <c r="BL414" s="180"/>
      <c r="BM414" s="180"/>
      <c r="BN414" s="180"/>
      <c r="BO414" s="180"/>
      <c r="BP414" s="180"/>
      <c r="BQ414" s="180"/>
      <c r="BR414" s="180"/>
      <c r="BS414" s="180"/>
      <c r="BT414" s="180"/>
      <c r="BU414" s="180"/>
      <c r="BV414" s="180"/>
      <c r="BW414" s="180"/>
      <c r="BX414" s="180"/>
      <c r="BY414" s="180"/>
      <c r="BZ414" s="180"/>
      <c r="CA414" s="180"/>
      <c r="CB414" s="180"/>
      <c r="CC414" s="180"/>
      <c r="CD414" s="180"/>
      <c r="CE414" s="180"/>
      <c r="CF414" s="180"/>
      <c r="CG414" s="180"/>
      <c r="CH414" s="180"/>
      <c r="CI414" s="180"/>
      <c r="CJ414" s="180"/>
      <c r="CK414" s="180"/>
      <c r="CL414" s="180"/>
      <c r="CM414" s="180"/>
      <c r="CN414" s="180"/>
      <c r="CO414" s="180"/>
      <c r="CP414" s="180"/>
      <c r="CQ414" s="180"/>
      <c r="CR414" s="180"/>
      <c r="CS414" s="180"/>
      <c r="CT414" s="180"/>
      <c r="CU414" s="180"/>
      <c r="CV414" s="180"/>
      <c r="CW414" s="180"/>
      <c r="CX414" s="180"/>
      <c r="CY414" s="180"/>
      <c r="CZ414" s="180"/>
    </row>
    <row r="415" spans="1:104" x14ac:dyDescent="0.45">
      <c r="A415" s="180" t="s">
        <v>3</v>
      </c>
      <c r="B415" s="73">
        <v>2</v>
      </c>
      <c r="C415" s="73"/>
      <c r="D415" s="180" t="s">
        <v>415</v>
      </c>
      <c r="E415" s="39">
        <v>43589</v>
      </c>
      <c r="F415" s="179">
        <v>0.47222222222222227</v>
      </c>
      <c r="G415" s="180">
        <v>2</v>
      </c>
      <c r="H415" s="180"/>
      <c r="I415" s="180"/>
      <c r="J415" s="180"/>
      <c r="K415" s="180"/>
      <c r="L415" s="180"/>
      <c r="M415" s="180"/>
      <c r="N415" s="180"/>
      <c r="O415" s="180"/>
      <c r="P415" s="180"/>
      <c r="AS415" s="180"/>
      <c r="AT415" s="180"/>
      <c r="AU415" s="180"/>
      <c r="AV415" s="180"/>
      <c r="AW415" s="180"/>
      <c r="AX415" s="180"/>
      <c r="AY415" s="180"/>
      <c r="AZ415" s="180"/>
      <c r="BA415" s="180"/>
      <c r="BB415" s="180"/>
      <c r="BC415" s="180"/>
      <c r="BD415" s="180"/>
      <c r="BE415" s="180"/>
      <c r="BF415" s="180"/>
      <c r="BG415" s="180"/>
      <c r="BH415" s="180"/>
      <c r="BI415" s="180"/>
      <c r="BJ415" s="180"/>
      <c r="BK415" s="180"/>
      <c r="BL415" s="180"/>
      <c r="BM415" s="180"/>
      <c r="BN415" s="180"/>
      <c r="BO415" s="180"/>
      <c r="BP415" s="180"/>
      <c r="BQ415" s="180"/>
      <c r="BR415" s="180"/>
      <c r="BS415" s="180"/>
      <c r="BT415" s="180"/>
      <c r="BU415" s="180"/>
      <c r="BV415" s="180"/>
      <c r="BW415" s="180"/>
      <c r="BX415" s="180"/>
      <c r="BY415" s="180"/>
      <c r="BZ415" s="180"/>
      <c r="CA415" s="180"/>
      <c r="CB415" s="180"/>
      <c r="CC415" s="180"/>
      <c r="CD415" s="180"/>
      <c r="CE415" s="180"/>
      <c r="CF415" s="180"/>
      <c r="CG415" s="180"/>
      <c r="CH415" s="180"/>
      <c r="CI415" s="180"/>
      <c r="CJ415" s="180"/>
      <c r="CK415" s="180"/>
      <c r="CL415" s="180"/>
      <c r="CM415" s="180"/>
      <c r="CN415" s="180"/>
      <c r="CO415" s="180"/>
      <c r="CP415" s="180"/>
      <c r="CQ415" s="180"/>
      <c r="CR415" s="180"/>
      <c r="CS415" s="180"/>
      <c r="CT415" s="180"/>
      <c r="CU415" s="180"/>
      <c r="CV415" s="180"/>
      <c r="CW415" s="180"/>
      <c r="CX415" s="180"/>
      <c r="CY415" s="180"/>
      <c r="CZ415" s="180"/>
    </row>
    <row r="416" spans="1:104" x14ac:dyDescent="0.45">
      <c r="A416" s="180" t="s">
        <v>3</v>
      </c>
      <c r="B416" s="73">
        <v>6</v>
      </c>
      <c r="C416" s="73">
        <v>6</v>
      </c>
      <c r="D416" s="180" t="s">
        <v>128</v>
      </c>
      <c r="E416" s="39">
        <v>43590</v>
      </c>
      <c r="F416" s="179">
        <v>0.54027777777777775</v>
      </c>
      <c r="G416" s="180">
        <v>1</v>
      </c>
      <c r="H416" s="180"/>
      <c r="I416" s="180"/>
      <c r="J416" s="180"/>
      <c r="K416" s="180"/>
      <c r="L416" s="180"/>
      <c r="M416" s="180"/>
      <c r="N416" s="180"/>
      <c r="O416" s="180"/>
      <c r="P416" s="180"/>
      <c r="AS416" s="180"/>
      <c r="AT416" s="180"/>
      <c r="AU416" s="180"/>
      <c r="AV416" s="180"/>
      <c r="AW416" s="180"/>
      <c r="AX416" s="180"/>
      <c r="AY416" s="180"/>
      <c r="AZ416" s="180"/>
      <c r="BA416" s="180"/>
      <c r="BB416" s="180"/>
      <c r="BC416" s="180"/>
      <c r="BD416" s="180"/>
      <c r="BE416" s="180"/>
      <c r="BF416" s="180"/>
      <c r="BG416" s="180"/>
      <c r="BH416" s="180"/>
      <c r="BI416" s="180"/>
      <c r="BJ416" s="180"/>
      <c r="BK416" s="180"/>
      <c r="BL416" s="180"/>
      <c r="BM416" s="180"/>
      <c r="BN416" s="180"/>
      <c r="BO416" s="180"/>
      <c r="BP416" s="180"/>
      <c r="BQ416" s="180"/>
      <c r="BR416" s="180"/>
      <c r="BS416" s="180"/>
      <c r="BT416" s="180"/>
      <c r="BU416" s="180"/>
      <c r="BV416" s="180"/>
      <c r="BW416" s="180"/>
      <c r="BX416" s="180"/>
      <c r="BY416" s="180"/>
      <c r="BZ416" s="180"/>
      <c r="CA416" s="180"/>
      <c r="CB416" s="180"/>
      <c r="CC416" s="180"/>
      <c r="CD416" s="180"/>
      <c r="CE416" s="180"/>
      <c r="CF416" s="180"/>
      <c r="CG416" s="180"/>
      <c r="CH416" s="180"/>
      <c r="CI416" s="180"/>
      <c r="CJ416" s="180"/>
      <c r="CK416" s="180"/>
      <c r="CL416" s="180"/>
      <c r="CM416" s="180"/>
      <c r="CN416" s="180"/>
      <c r="CO416" s="180"/>
      <c r="CP416" s="180"/>
      <c r="CQ416" s="180"/>
      <c r="CR416" s="180"/>
      <c r="CS416" s="180"/>
      <c r="CT416" s="180"/>
      <c r="CU416" s="180"/>
      <c r="CV416" s="180"/>
      <c r="CW416" s="180"/>
      <c r="CX416" s="180"/>
      <c r="CY416" s="180"/>
      <c r="CZ416" s="180"/>
    </row>
    <row r="417" spans="1:104" x14ac:dyDescent="0.45">
      <c r="A417" s="180" t="s">
        <v>3</v>
      </c>
      <c r="B417" s="73">
        <v>1</v>
      </c>
      <c r="C417" s="73"/>
      <c r="D417" s="180" t="s">
        <v>415</v>
      </c>
      <c r="E417" s="39">
        <v>43590</v>
      </c>
      <c r="F417" s="179">
        <v>0.72569444444444453</v>
      </c>
      <c r="G417" s="180">
        <v>1</v>
      </c>
      <c r="H417" s="180"/>
      <c r="I417" s="180"/>
      <c r="J417" s="180"/>
      <c r="K417" s="180"/>
      <c r="L417" s="180"/>
      <c r="M417" s="180"/>
      <c r="N417" s="180"/>
      <c r="O417" s="180"/>
      <c r="P417" s="180"/>
      <c r="AS417" s="180"/>
      <c r="AT417" s="180"/>
      <c r="AU417" s="180"/>
      <c r="AV417" s="180"/>
      <c r="AW417" s="180"/>
      <c r="AX417" s="180"/>
      <c r="AY417" s="180"/>
      <c r="AZ417" s="180"/>
      <c r="BA417" s="180"/>
      <c r="BB417" s="180"/>
      <c r="BC417" s="180"/>
      <c r="BD417" s="180"/>
      <c r="BE417" s="180"/>
      <c r="BF417" s="180"/>
      <c r="BG417" s="180"/>
      <c r="BH417" s="180"/>
      <c r="BI417" s="180"/>
      <c r="BJ417" s="180"/>
      <c r="BK417" s="180"/>
      <c r="BL417" s="180"/>
      <c r="BM417" s="180"/>
      <c r="BN417" s="180"/>
      <c r="BO417" s="180"/>
      <c r="BP417" s="180"/>
      <c r="BQ417" s="180"/>
      <c r="BR417" s="180"/>
      <c r="BS417" s="180"/>
      <c r="BT417" s="180"/>
      <c r="BU417" s="180"/>
      <c r="BV417" s="180"/>
      <c r="BW417" s="180"/>
      <c r="BX417" s="180"/>
      <c r="BY417" s="180"/>
      <c r="BZ417" s="180"/>
      <c r="CA417" s="180"/>
      <c r="CB417" s="180"/>
      <c r="CC417" s="180"/>
      <c r="CD417" s="180"/>
      <c r="CE417" s="180"/>
      <c r="CF417" s="180"/>
      <c r="CG417" s="180"/>
      <c r="CH417" s="180"/>
      <c r="CI417" s="180"/>
      <c r="CJ417" s="180"/>
      <c r="CK417" s="180"/>
      <c r="CL417" s="180"/>
      <c r="CM417" s="180"/>
      <c r="CN417" s="180"/>
      <c r="CO417" s="180"/>
      <c r="CP417" s="180"/>
      <c r="CQ417" s="180"/>
      <c r="CR417" s="180"/>
      <c r="CS417" s="180"/>
      <c r="CT417" s="180"/>
      <c r="CU417" s="180"/>
      <c r="CV417" s="180"/>
      <c r="CW417" s="180"/>
      <c r="CX417" s="180"/>
      <c r="CY417" s="180"/>
      <c r="CZ417" s="180"/>
    </row>
    <row r="418" spans="1:104" x14ac:dyDescent="0.45">
      <c r="A418" s="180" t="s">
        <v>3</v>
      </c>
      <c r="B418" s="73">
        <v>1</v>
      </c>
      <c r="C418" s="73">
        <v>1</v>
      </c>
      <c r="D418" s="180" t="s">
        <v>429</v>
      </c>
      <c r="E418" s="39">
        <v>43590</v>
      </c>
      <c r="F418" s="179">
        <v>0.50972222222222219</v>
      </c>
      <c r="G418" s="180">
        <v>2</v>
      </c>
      <c r="H418" s="180"/>
      <c r="I418" s="180"/>
      <c r="J418" s="180"/>
      <c r="K418" s="180"/>
      <c r="L418" s="180"/>
      <c r="M418" s="180"/>
      <c r="N418" s="180"/>
      <c r="O418" s="180"/>
      <c r="P418" s="180"/>
      <c r="AS418" s="180"/>
      <c r="AT418" s="180"/>
      <c r="AU418" s="180"/>
      <c r="AV418" s="180"/>
      <c r="AW418" s="180"/>
      <c r="AX418" s="180"/>
      <c r="AY418" s="180"/>
      <c r="AZ418" s="180"/>
      <c r="BA418" s="180"/>
      <c r="BB418" s="180"/>
      <c r="BC418" s="180"/>
      <c r="BD418" s="180"/>
      <c r="BE418" s="180"/>
      <c r="BF418" s="180"/>
      <c r="BG418" s="180"/>
      <c r="BH418" s="180"/>
      <c r="BI418" s="180"/>
      <c r="BJ418" s="180"/>
      <c r="BK418" s="180"/>
      <c r="BL418" s="180"/>
      <c r="BM418" s="180"/>
      <c r="BN418" s="180"/>
      <c r="BO418" s="180"/>
      <c r="BP418" s="180"/>
      <c r="BQ418" s="180"/>
      <c r="BR418" s="180"/>
      <c r="BS418" s="180"/>
      <c r="BT418" s="180"/>
      <c r="BU418" s="180"/>
      <c r="BV418" s="180"/>
      <c r="BW418" s="180"/>
      <c r="BX418" s="180"/>
      <c r="BY418" s="180"/>
      <c r="BZ418" s="180"/>
      <c r="CA418" s="180"/>
      <c r="CB418" s="180"/>
      <c r="CC418" s="180"/>
      <c r="CD418" s="180"/>
      <c r="CE418" s="180"/>
      <c r="CF418" s="180"/>
      <c r="CG418" s="180"/>
      <c r="CH418" s="180"/>
      <c r="CI418" s="180"/>
      <c r="CJ418" s="180"/>
      <c r="CK418" s="180"/>
      <c r="CL418" s="180"/>
      <c r="CM418" s="180"/>
      <c r="CN418" s="180"/>
      <c r="CO418" s="180"/>
      <c r="CP418" s="180"/>
      <c r="CQ418" s="180"/>
      <c r="CR418" s="180"/>
      <c r="CS418" s="180"/>
      <c r="CT418" s="180"/>
      <c r="CU418" s="180"/>
      <c r="CV418" s="180"/>
      <c r="CW418" s="180"/>
      <c r="CX418" s="180"/>
      <c r="CY418" s="180"/>
      <c r="CZ418" s="180"/>
    </row>
    <row r="419" spans="1:104" x14ac:dyDescent="0.45">
      <c r="A419" s="180" t="s">
        <v>3</v>
      </c>
      <c r="B419" s="73">
        <v>1</v>
      </c>
      <c r="C419" s="73">
        <v>1</v>
      </c>
      <c r="D419" s="180" t="s">
        <v>349</v>
      </c>
      <c r="E419" s="39">
        <v>43590</v>
      </c>
      <c r="F419" s="179">
        <v>0.3833333333333333</v>
      </c>
      <c r="G419" s="180">
        <v>2</v>
      </c>
      <c r="H419" s="180" t="s">
        <v>430</v>
      </c>
      <c r="I419" s="180"/>
      <c r="J419" s="180"/>
      <c r="K419" s="180"/>
      <c r="L419" s="180"/>
      <c r="M419" s="180"/>
      <c r="N419" s="180"/>
      <c r="O419" s="180"/>
      <c r="P419" s="180"/>
      <c r="AS419" s="180"/>
      <c r="AT419" s="180"/>
      <c r="AU419" s="180"/>
      <c r="AV419" s="180"/>
      <c r="AW419" s="180"/>
      <c r="AX419" s="180"/>
      <c r="AY419" s="180"/>
      <c r="AZ419" s="180"/>
      <c r="BA419" s="180"/>
      <c r="BB419" s="180"/>
      <c r="BC419" s="180"/>
      <c r="BD419" s="180"/>
      <c r="BE419" s="180"/>
      <c r="BF419" s="180"/>
      <c r="BG419" s="180"/>
      <c r="BH419" s="180"/>
      <c r="BI419" s="180"/>
      <c r="BJ419" s="180"/>
      <c r="BK419" s="180"/>
      <c r="BL419" s="180"/>
      <c r="BM419" s="180"/>
      <c r="BN419" s="180"/>
      <c r="BO419" s="180"/>
      <c r="BP419" s="180"/>
      <c r="BQ419" s="180"/>
      <c r="BR419" s="180"/>
      <c r="BS419" s="180"/>
      <c r="BT419" s="180"/>
      <c r="BU419" s="180"/>
      <c r="BV419" s="180"/>
      <c r="BW419" s="180"/>
      <c r="BX419" s="180"/>
      <c r="BY419" s="180"/>
      <c r="BZ419" s="180"/>
      <c r="CA419" s="180"/>
      <c r="CB419" s="180"/>
      <c r="CC419" s="180"/>
      <c r="CD419" s="180"/>
      <c r="CE419" s="180"/>
      <c r="CF419" s="180"/>
      <c r="CG419" s="180"/>
      <c r="CH419" s="180"/>
      <c r="CI419" s="180"/>
      <c r="CJ419" s="180"/>
      <c r="CK419" s="180"/>
      <c r="CL419" s="180"/>
      <c r="CM419" s="180"/>
      <c r="CN419" s="180"/>
      <c r="CO419" s="180"/>
      <c r="CP419" s="180"/>
      <c r="CQ419" s="180"/>
      <c r="CR419" s="180"/>
      <c r="CS419" s="180"/>
      <c r="CT419" s="180"/>
      <c r="CU419" s="180"/>
      <c r="CV419" s="180"/>
      <c r="CW419" s="180"/>
      <c r="CX419" s="180"/>
      <c r="CY419" s="180"/>
      <c r="CZ419" s="180"/>
    </row>
    <row r="420" spans="1:104" x14ac:dyDescent="0.45">
      <c r="A420" s="180" t="s">
        <v>3</v>
      </c>
      <c r="B420" s="73">
        <v>2</v>
      </c>
      <c r="C420" s="73">
        <v>2</v>
      </c>
      <c r="D420" s="180" t="s">
        <v>296</v>
      </c>
      <c r="E420" s="39">
        <v>43591</v>
      </c>
      <c r="F420" s="179">
        <v>0.51388888888888895</v>
      </c>
      <c r="G420" s="180">
        <v>2</v>
      </c>
      <c r="H420" s="180"/>
      <c r="I420" s="180"/>
      <c r="J420" s="180"/>
      <c r="K420" s="180"/>
      <c r="L420" s="180"/>
      <c r="M420" s="180"/>
      <c r="N420" s="180"/>
      <c r="O420" s="180"/>
      <c r="P420" s="180"/>
      <c r="AS420" s="180"/>
      <c r="AT420" s="180"/>
      <c r="AU420" s="180"/>
      <c r="AV420" s="180"/>
      <c r="AW420" s="180"/>
      <c r="AX420" s="180"/>
      <c r="AY420" s="180"/>
      <c r="AZ420" s="180"/>
      <c r="BA420" s="180"/>
      <c r="BB420" s="180"/>
      <c r="BC420" s="180"/>
      <c r="BD420" s="180"/>
      <c r="BE420" s="180"/>
      <c r="BF420" s="180"/>
      <c r="BG420" s="180"/>
      <c r="BH420" s="180"/>
      <c r="BI420" s="180"/>
      <c r="BJ420" s="180"/>
      <c r="BK420" s="180"/>
      <c r="BL420" s="180"/>
      <c r="BM420" s="180"/>
      <c r="BN420" s="180"/>
      <c r="BO420" s="180"/>
      <c r="BP420" s="180"/>
      <c r="BQ420" s="180"/>
      <c r="BR420" s="180"/>
      <c r="BS420" s="180"/>
      <c r="BT420" s="180"/>
      <c r="BU420" s="180"/>
      <c r="BV420" s="180"/>
      <c r="BW420" s="180"/>
      <c r="BX420" s="180"/>
      <c r="BY420" s="180"/>
      <c r="BZ420" s="180"/>
      <c r="CA420" s="180"/>
      <c r="CB420" s="180"/>
      <c r="CC420" s="180"/>
      <c r="CD420" s="180"/>
      <c r="CE420" s="180"/>
      <c r="CF420" s="180"/>
      <c r="CG420" s="180"/>
      <c r="CH420" s="180"/>
      <c r="CI420" s="180"/>
      <c r="CJ420" s="180"/>
      <c r="CK420" s="180"/>
      <c r="CL420" s="180"/>
      <c r="CM420" s="180"/>
      <c r="CN420" s="180"/>
      <c r="CO420" s="180"/>
      <c r="CP420" s="180"/>
      <c r="CQ420" s="180"/>
      <c r="CR420" s="180"/>
      <c r="CS420" s="180"/>
      <c r="CT420" s="180"/>
      <c r="CU420" s="180"/>
      <c r="CV420" s="180"/>
      <c r="CW420" s="180"/>
      <c r="CX420" s="180"/>
      <c r="CY420" s="180"/>
      <c r="CZ420" s="180"/>
    </row>
    <row r="421" spans="1:104" x14ac:dyDescent="0.45">
      <c r="A421" s="180" t="s">
        <v>3</v>
      </c>
      <c r="B421" s="73">
        <v>1</v>
      </c>
      <c r="C421" s="73">
        <v>1</v>
      </c>
      <c r="D421" s="180" t="s">
        <v>296</v>
      </c>
      <c r="E421" s="39">
        <v>43592</v>
      </c>
      <c r="F421" s="179">
        <v>0.71388888888888891</v>
      </c>
      <c r="G421" s="180">
        <v>1</v>
      </c>
      <c r="H421" s="180" t="s">
        <v>431</v>
      </c>
      <c r="I421" s="180"/>
      <c r="J421" s="180"/>
      <c r="K421" s="180"/>
      <c r="L421" s="180"/>
      <c r="M421" s="180"/>
      <c r="N421" s="180"/>
      <c r="O421" s="180"/>
      <c r="P421" s="180"/>
      <c r="AS421" s="180"/>
      <c r="AT421" s="180"/>
      <c r="AU421" s="180"/>
      <c r="AV421" s="180"/>
      <c r="AW421" s="180"/>
      <c r="AX421" s="180"/>
      <c r="AY421" s="180"/>
      <c r="AZ421" s="180"/>
      <c r="BA421" s="180"/>
      <c r="BB421" s="180"/>
      <c r="BC421" s="180"/>
      <c r="BD421" s="180"/>
      <c r="BE421" s="180"/>
      <c r="BF421" s="180"/>
      <c r="BG421" s="180"/>
      <c r="BH421" s="180"/>
      <c r="BI421" s="180"/>
      <c r="BJ421" s="180"/>
      <c r="BK421" s="180"/>
      <c r="BL421" s="180"/>
      <c r="BM421" s="180"/>
      <c r="BN421" s="180"/>
      <c r="BO421" s="180"/>
      <c r="BP421" s="180"/>
      <c r="BQ421" s="180"/>
      <c r="BR421" s="180"/>
      <c r="BS421" s="180"/>
      <c r="BT421" s="180"/>
      <c r="BU421" s="180"/>
      <c r="BV421" s="180"/>
      <c r="BW421" s="180"/>
      <c r="BX421" s="180"/>
      <c r="BY421" s="180"/>
      <c r="BZ421" s="180"/>
      <c r="CA421" s="180"/>
      <c r="CB421" s="180"/>
      <c r="CC421" s="180"/>
      <c r="CD421" s="180"/>
      <c r="CE421" s="180"/>
      <c r="CF421" s="180"/>
      <c r="CG421" s="180"/>
      <c r="CH421" s="180"/>
      <c r="CI421" s="180"/>
      <c r="CJ421" s="180"/>
      <c r="CK421" s="180"/>
      <c r="CL421" s="180"/>
      <c r="CM421" s="180"/>
      <c r="CN421" s="180"/>
      <c r="CO421" s="180"/>
      <c r="CP421" s="180"/>
      <c r="CQ421" s="180"/>
      <c r="CR421" s="180"/>
      <c r="CS421" s="180"/>
      <c r="CT421" s="180"/>
      <c r="CU421" s="180"/>
      <c r="CV421" s="180"/>
      <c r="CW421" s="180"/>
      <c r="CX421" s="180"/>
      <c r="CY421" s="180"/>
      <c r="CZ421" s="180"/>
    </row>
    <row r="422" spans="1:104" x14ac:dyDescent="0.45">
      <c r="A422" s="180" t="s">
        <v>3</v>
      </c>
      <c r="B422" s="73">
        <v>9</v>
      </c>
      <c r="C422" s="73"/>
      <c r="D422" s="180" t="s">
        <v>432</v>
      </c>
      <c r="E422" s="39">
        <v>43593</v>
      </c>
      <c r="F422" s="179">
        <v>0.70208333333333339</v>
      </c>
      <c r="G422" s="180">
        <v>1</v>
      </c>
      <c r="H422" s="180" t="s">
        <v>433</v>
      </c>
      <c r="I422" s="180"/>
      <c r="J422" s="180"/>
      <c r="K422" s="180"/>
      <c r="L422" s="180"/>
      <c r="M422" s="180"/>
      <c r="N422" s="180"/>
      <c r="O422" s="180"/>
      <c r="P422" s="180"/>
      <c r="AS422" s="180"/>
      <c r="AT422" s="180"/>
      <c r="AU422" s="180"/>
      <c r="AV422" s="180"/>
      <c r="AW422" s="180"/>
      <c r="AX422" s="180"/>
      <c r="AY422" s="180"/>
      <c r="AZ422" s="180"/>
      <c r="BA422" s="180"/>
      <c r="BB422" s="180"/>
      <c r="BC422" s="180"/>
      <c r="BD422" s="180"/>
      <c r="BE422" s="180"/>
      <c r="BF422" s="180"/>
      <c r="BG422" s="180"/>
      <c r="BH422" s="180"/>
      <c r="BI422" s="180"/>
      <c r="BJ422" s="180"/>
      <c r="BK422" s="180"/>
      <c r="BL422" s="180"/>
      <c r="BM422" s="180"/>
      <c r="BN422" s="180"/>
      <c r="BO422" s="180"/>
      <c r="BP422" s="180"/>
      <c r="BQ422" s="180"/>
      <c r="BR422" s="180"/>
      <c r="BS422" s="180"/>
      <c r="BT422" s="180"/>
      <c r="BU422" s="180"/>
      <c r="BV422" s="180"/>
      <c r="BW422" s="180"/>
      <c r="BX422" s="180"/>
      <c r="BY422" s="180"/>
      <c r="BZ422" s="180"/>
      <c r="CA422" s="180"/>
      <c r="CB422" s="180"/>
      <c r="CC422" s="180"/>
      <c r="CD422" s="180"/>
      <c r="CE422" s="180"/>
      <c r="CF422" s="180"/>
      <c r="CG422" s="180"/>
      <c r="CH422" s="180"/>
      <c r="CI422" s="180"/>
      <c r="CJ422" s="180"/>
      <c r="CK422" s="180"/>
      <c r="CL422" s="180"/>
      <c r="CM422" s="180"/>
      <c r="CN422" s="180"/>
      <c r="CO422" s="180"/>
      <c r="CP422" s="180"/>
      <c r="CQ422" s="180"/>
      <c r="CR422" s="180"/>
      <c r="CS422" s="180"/>
      <c r="CT422" s="180"/>
      <c r="CU422" s="180"/>
      <c r="CV422" s="180"/>
      <c r="CW422" s="180"/>
      <c r="CX422" s="180"/>
      <c r="CY422" s="180"/>
      <c r="CZ422" s="180"/>
    </row>
    <row r="423" spans="1:104" x14ac:dyDescent="0.45">
      <c r="A423" s="180" t="s">
        <v>3</v>
      </c>
      <c r="B423" s="73">
        <v>2</v>
      </c>
      <c r="C423" s="73"/>
      <c r="D423" s="180" t="s">
        <v>434</v>
      </c>
      <c r="E423" s="39">
        <v>43593</v>
      </c>
      <c r="F423" s="179">
        <v>0.58958333333333335</v>
      </c>
      <c r="G423" s="180">
        <v>3</v>
      </c>
      <c r="H423" s="180" t="s">
        <v>435</v>
      </c>
      <c r="I423" s="180"/>
      <c r="J423" s="180"/>
      <c r="K423" s="180"/>
      <c r="L423" s="180"/>
      <c r="M423" s="180"/>
      <c r="N423" s="180"/>
      <c r="O423" s="180"/>
      <c r="P423" s="180"/>
      <c r="AS423" s="180"/>
      <c r="AT423" s="180"/>
      <c r="AU423" s="180"/>
      <c r="AV423" s="180"/>
      <c r="AW423" s="180"/>
      <c r="AX423" s="180"/>
      <c r="AY423" s="180"/>
      <c r="AZ423" s="180"/>
      <c r="BA423" s="180"/>
      <c r="BB423" s="180"/>
      <c r="BC423" s="180"/>
      <c r="BD423" s="180"/>
      <c r="BE423" s="180"/>
      <c r="BF423" s="180"/>
      <c r="BG423" s="180"/>
      <c r="BH423" s="180"/>
      <c r="BI423" s="180"/>
      <c r="BJ423" s="180"/>
      <c r="BK423" s="180"/>
      <c r="BL423" s="180"/>
      <c r="BM423" s="180"/>
      <c r="BN423" s="180"/>
      <c r="BO423" s="180"/>
      <c r="BP423" s="180"/>
      <c r="BQ423" s="180"/>
      <c r="BR423" s="180"/>
      <c r="BS423" s="180"/>
      <c r="BT423" s="180"/>
      <c r="BU423" s="180"/>
      <c r="BV423" s="180"/>
      <c r="BW423" s="180"/>
      <c r="BX423" s="180"/>
      <c r="BY423" s="180"/>
      <c r="BZ423" s="180"/>
      <c r="CA423" s="180"/>
      <c r="CB423" s="180"/>
      <c r="CC423" s="180"/>
      <c r="CD423" s="180"/>
      <c r="CE423" s="180"/>
      <c r="CF423" s="180"/>
      <c r="CG423" s="180"/>
      <c r="CH423" s="180"/>
      <c r="CI423" s="180"/>
      <c r="CJ423" s="180"/>
      <c r="CK423" s="180"/>
      <c r="CL423" s="180"/>
      <c r="CM423" s="180"/>
      <c r="CN423" s="180"/>
      <c r="CO423" s="180"/>
      <c r="CP423" s="180"/>
      <c r="CQ423" s="180"/>
      <c r="CR423" s="180"/>
      <c r="CS423" s="180"/>
      <c r="CT423" s="180"/>
      <c r="CU423" s="180"/>
      <c r="CV423" s="180"/>
      <c r="CW423" s="180"/>
      <c r="CX423" s="180"/>
      <c r="CY423" s="180"/>
      <c r="CZ423" s="180"/>
    </row>
    <row r="424" spans="1:104" x14ac:dyDescent="0.45">
      <c r="A424" s="180" t="s">
        <v>3</v>
      </c>
      <c r="B424" s="73">
        <v>1</v>
      </c>
      <c r="C424" s="73"/>
      <c r="D424" s="180" t="s">
        <v>436</v>
      </c>
      <c r="E424" s="39">
        <v>43593</v>
      </c>
      <c r="F424" s="179">
        <v>0.63888888888888895</v>
      </c>
      <c r="G424" s="180">
        <v>1</v>
      </c>
      <c r="H424" s="180"/>
      <c r="I424" s="180"/>
      <c r="J424" s="180"/>
      <c r="K424" s="180"/>
      <c r="L424" s="180"/>
      <c r="M424" s="180"/>
      <c r="N424" s="180"/>
      <c r="O424" s="180"/>
      <c r="P424" s="180"/>
      <c r="AS424" s="180"/>
      <c r="AT424" s="180"/>
      <c r="AU424" s="180"/>
      <c r="AV424" s="180"/>
      <c r="AW424" s="180"/>
      <c r="AX424" s="180"/>
      <c r="AY424" s="180"/>
      <c r="AZ424" s="180"/>
      <c r="BA424" s="180"/>
      <c r="BB424" s="180"/>
      <c r="BC424" s="180"/>
      <c r="BD424" s="180"/>
      <c r="BE424" s="180"/>
      <c r="BF424" s="180"/>
      <c r="BG424" s="180"/>
      <c r="BH424" s="180"/>
      <c r="BI424" s="180"/>
      <c r="BJ424" s="180"/>
      <c r="BK424" s="180"/>
      <c r="BL424" s="180"/>
      <c r="BM424" s="180"/>
      <c r="BN424" s="180"/>
      <c r="BO424" s="180"/>
      <c r="BP424" s="180"/>
      <c r="BQ424" s="180"/>
      <c r="BR424" s="180"/>
      <c r="BS424" s="180"/>
      <c r="BT424" s="180"/>
      <c r="BU424" s="180"/>
      <c r="BV424" s="180"/>
      <c r="BW424" s="180"/>
      <c r="BX424" s="180"/>
      <c r="BY424" s="180"/>
      <c r="BZ424" s="180"/>
      <c r="CA424" s="180"/>
      <c r="CB424" s="180"/>
      <c r="CC424" s="180"/>
      <c r="CD424" s="180"/>
      <c r="CE424" s="180"/>
      <c r="CF424" s="180"/>
      <c r="CG424" s="180"/>
      <c r="CH424" s="180"/>
      <c r="CI424" s="180"/>
      <c r="CJ424" s="180"/>
      <c r="CK424" s="180"/>
      <c r="CL424" s="180"/>
      <c r="CM424" s="180"/>
      <c r="CN424" s="180"/>
      <c r="CO424" s="180"/>
      <c r="CP424" s="180"/>
      <c r="CQ424" s="180"/>
      <c r="CR424" s="180"/>
      <c r="CS424" s="180"/>
      <c r="CT424" s="180"/>
      <c r="CU424" s="180"/>
      <c r="CV424" s="180"/>
      <c r="CW424" s="180"/>
      <c r="CX424" s="180"/>
      <c r="CY424" s="180"/>
      <c r="CZ424" s="180"/>
    </row>
    <row r="425" spans="1:104" x14ac:dyDescent="0.45">
      <c r="A425" s="180" t="s">
        <v>3</v>
      </c>
      <c r="B425" s="73">
        <v>5</v>
      </c>
      <c r="C425" s="73">
        <v>5</v>
      </c>
      <c r="D425" s="180" t="s">
        <v>437</v>
      </c>
      <c r="E425" s="39">
        <v>43593</v>
      </c>
      <c r="F425" s="179">
        <v>0.65486111111111112</v>
      </c>
      <c r="G425" s="180">
        <v>1</v>
      </c>
      <c r="H425" s="180"/>
      <c r="I425" s="180"/>
      <c r="J425" s="180"/>
      <c r="K425" s="180"/>
      <c r="L425" s="180"/>
      <c r="M425" s="180"/>
      <c r="N425" s="180"/>
      <c r="O425" s="180"/>
      <c r="P425" s="180"/>
      <c r="AS425" s="180"/>
      <c r="AT425" s="180"/>
      <c r="AU425" s="180"/>
      <c r="AV425" s="180"/>
      <c r="AW425" s="180"/>
      <c r="AX425" s="180"/>
      <c r="AY425" s="180"/>
      <c r="AZ425" s="180"/>
      <c r="BA425" s="180"/>
      <c r="BB425" s="180"/>
      <c r="BC425" s="180"/>
      <c r="BD425" s="180"/>
      <c r="BE425" s="180"/>
      <c r="BF425" s="180"/>
      <c r="BG425" s="180"/>
      <c r="BH425" s="180"/>
      <c r="BI425" s="180"/>
      <c r="BJ425" s="180"/>
      <c r="BK425" s="180"/>
      <c r="BL425" s="180"/>
      <c r="BM425" s="180"/>
      <c r="BN425" s="180"/>
      <c r="BO425" s="180"/>
      <c r="BP425" s="180"/>
      <c r="BQ425" s="180"/>
      <c r="BR425" s="180"/>
      <c r="BS425" s="180"/>
      <c r="BT425" s="180"/>
      <c r="BU425" s="180"/>
      <c r="BV425" s="180"/>
      <c r="BW425" s="180"/>
      <c r="BX425" s="180"/>
      <c r="BY425" s="180"/>
      <c r="BZ425" s="180"/>
      <c r="CA425" s="180"/>
      <c r="CB425" s="180"/>
      <c r="CC425" s="180"/>
      <c r="CD425" s="180"/>
      <c r="CE425" s="180"/>
      <c r="CF425" s="180"/>
      <c r="CG425" s="180"/>
      <c r="CH425" s="180"/>
      <c r="CI425" s="180"/>
      <c r="CJ425" s="180"/>
      <c r="CK425" s="180"/>
      <c r="CL425" s="180"/>
      <c r="CM425" s="180"/>
      <c r="CN425" s="180"/>
      <c r="CO425" s="180"/>
      <c r="CP425" s="180"/>
      <c r="CQ425" s="180"/>
      <c r="CR425" s="180"/>
      <c r="CS425" s="180"/>
      <c r="CT425" s="180"/>
      <c r="CU425" s="180"/>
      <c r="CV425" s="180"/>
      <c r="CW425" s="180"/>
      <c r="CX425" s="180"/>
      <c r="CY425" s="180"/>
      <c r="CZ425" s="180"/>
    </row>
    <row r="426" spans="1:104" x14ac:dyDescent="0.45">
      <c r="A426" s="180" t="s">
        <v>3</v>
      </c>
      <c r="B426" s="73">
        <v>1</v>
      </c>
      <c r="C426" s="73"/>
      <c r="D426" s="180" t="s">
        <v>309</v>
      </c>
      <c r="E426" s="39">
        <v>43593</v>
      </c>
      <c r="F426" s="179">
        <v>0.80208333333333337</v>
      </c>
      <c r="G426" s="180">
        <v>5</v>
      </c>
      <c r="H426" s="180"/>
      <c r="I426" s="180"/>
      <c r="J426" s="180"/>
      <c r="K426" s="180"/>
      <c r="L426" s="180"/>
      <c r="M426" s="180"/>
      <c r="N426" s="180"/>
      <c r="O426" s="180"/>
      <c r="P426" s="180"/>
      <c r="AS426" s="180"/>
      <c r="AT426" s="180"/>
      <c r="AU426" s="180"/>
      <c r="AV426" s="180"/>
      <c r="AW426" s="180"/>
      <c r="AX426" s="180"/>
      <c r="AY426" s="180"/>
      <c r="AZ426" s="180"/>
      <c r="BA426" s="180"/>
      <c r="BB426" s="180"/>
      <c r="BC426" s="180"/>
      <c r="BD426" s="180"/>
      <c r="BE426" s="180"/>
      <c r="BF426" s="180"/>
      <c r="BG426" s="180"/>
      <c r="BH426" s="180"/>
      <c r="BI426" s="180"/>
      <c r="BJ426" s="180"/>
      <c r="BK426" s="180"/>
      <c r="BL426" s="180"/>
      <c r="BM426" s="180"/>
      <c r="BN426" s="180"/>
      <c r="BO426" s="180"/>
      <c r="BP426" s="180"/>
      <c r="BQ426" s="180"/>
      <c r="BR426" s="180"/>
      <c r="BS426" s="180"/>
      <c r="BT426" s="180"/>
      <c r="BU426" s="180"/>
      <c r="BV426" s="180"/>
      <c r="BW426" s="180"/>
      <c r="BX426" s="180"/>
      <c r="BY426" s="180"/>
      <c r="BZ426" s="180"/>
      <c r="CA426" s="180"/>
      <c r="CB426" s="180"/>
      <c r="CC426" s="180"/>
      <c r="CD426" s="180"/>
      <c r="CE426" s="180"/>
      <c r="CF426" s="180"/>
      <c r="CG426" s="180"/>
      <c r="CH426" s="180"/>
      <c r="CI426" s="180"/>
      <c r="CJ426" s="180"/>
      <c r="CK426" s="180"/>
      <c r="CL426" s="180"/>
      <c r="CM426" s="180"/>
      <c r="CN426" s="180"/>
      <c r="CO426" s="180"/>
      <c r="CP426" s="180"/>
      <c r="CQ426" s="180"/>
      <c r="CR426" s="180"/>
      <c r="CS426" s="180"/>
      <c r="CT426" s="180"/>
      <c r="CU426" s="180"/>
      <c r="CV426" s="180"/>
      <c r="CW426" s="180"/>
      <c r="CX426" s="180"/>
      <c r="CY426" s="180"/>
      <c r="CZ426" s="180"/>
    </row>
    <row r="427" spans="1:104" x14ac:dyDescent="0.45">
      <c r="A427" s="180" t="s">
        <v>3</v>
      </c>
      <c r="B427" s="73">
        <v>3</v>
      </c>
      <c r="C427" s="73">
        <v>3</v>
      </c>
      <c r="D427" s="180" t="s">
        <v>296</v>
      </c>
      <c r="E427" s="39">
        <v>43593</v>
      </c>
      <c r="F427" s="179">
        <v>0.78472222222222221</v>
      </c>
      <c r="G427" s="180">
        <v>2</v>
      </c>
      <c r="H427" s="180"/>
      <c r="I427" s="180"/>
      <c r="J427" s="180"/>
      <c r="K427" s="180"/>
      <c r="L427" s="180"/>
      <c r="M427" s="180"/>
      <c r="N427" s="180"/>
      <c r="O427" s="180"/>
      <c r="P427" s="180"/>
      <c r="AS427" s="180"/>
      <c r="AT427" s="180"/>
      <c r="AU427" s="180"/>
      <c r="AV427" s="180"/>
      <c r="AW427" s="180"/>
      <c r="AX427" s="180"/>
      <c r="AY427" s="180"/>
      <c r="AZ427" s="180"/>
      <c r="BA427" s="180"/>
      <c r="BB427" s="180"/>
      <c r="BC427" s="180"/>
      <c r="BD427" s="180"/>
      <c r="BE427" s="180"/>
      <c r="BF427" s="180"/>
      <c r="BG427" s="180"/>
      <c r="BH427" s="180"/>
      <c r="BI427" s="180"/>
      <c r="BJ427" s="180"/>
      <c r="BK427" s="180"/>
      <c r="BL427" s="180"/>
      <c r="BM427" s="180"/>
      <c r="BN427" s="180"/>
      <c r="BO427" s="180"/>
      <c r="BP427" s="180"/>
      <c r="BQ427" s="180"/>
      <c r="BR427" s="180"/>
      <c r="BS427" s="180"/>
      <c r="BT427" s="180"/>
      <c r="BU427" s="180"/>
      <c r="BV427" s="180"/>
      <c r="BW427" s="180"/>
      <c r="BX427" s="180"/>
      <c r="BY427" s="180"/>
      <c r="BZ427" s="180"/>
      <c r="CA427" s="180"/>
      <c r="CB427" s="180"/>
      <c r="CC427" s="180"/>
      <c r="CD427" s="180"/>
      <c r="CE427" s="180"/>
      <c r="CF427" s="180"/>
      <c r="CG427" s="180"/>
      <c r="CH427" s="180"/>
      <c r="CI427" s="180"/>
      <c r="CJ427" s="180"/>
      <c r="CK427" s="180"/>
      <c r="CL427" s="180"/>
      <c r="CM427" s="180"/>
      <c r="CN427" s="180"/>
      <c r="CO427" s="180"/>
      <c r="CP427" s="180"/>
      <c r="CQ427" s="180"/>
      <c r="CR427" s="180"/>
      <c r="CS427" s="180"/>
      <c r="CT427" s="180"/>
      <c r="CU427" s="180"/>
      <c r="CV427" s="180"/>
      <c r="CW427" s="180"/>
      <c r="CX427" s="180"/>
      <c r="CY427" s="180"/>
      <c r="CZ427" s="180"/>
    </row>
    <row r="428" spans="1:104" x14ac:dyDescent="0.45">
      <c r="A428" s="180" t="s">
        <v>3</v>
      </c>
      <c r="B428" s="73">
        <v>2</v>
      </c>
      <c r="C428" s="73"/>
      <c r="D428" s="180" t="s">
        <v>296</v>
      </c>
      <c r="E428" s="39">
        <v>43593</v>
      </c>
      <c r="F428" s="179">
        <v>0.75</v>
      </c>
      <c r="G428" s="180">
        <v>1</v>
      </c>
      <c r="H428" s="180"/>
      <c r="I428" s="180"/>
      <c r="J428" s="180"/>
      <c r="K428" s="180"/>
      <c r="L428" s="180"/>
      <c r="M428" s="180"/>
      <c r="N428" s="180"/>
      <c r="O428" s="180"/>
      <c r="P428" s="180"/>
      <c r="AS428" s="180"/>
      <c r="AT428" s="180"/>
      <c r="AU428" s="180"/>
      <c r="AV428" s="180"/>
      <c r="AW428" s="180"/>
      <c r="AX428" s="180"/>
      <c r="AY428" s="180"/>
      <c r="AZ428" s="180"/>
      <c r="BA428" s="180"/>
      <c r="BB428" s="180"/>
      <c r="BC428" s="180"/>
      <c r="BD428" s="180"/>
      <c r="BE428" s="180"/>
      <c r="BF428" s="180"/>
      <c r="BG428" s="180"/>
      <c r="BH428" s="180"/>
      <c r="BI428" s="180"/>
      <c r="BJ428" s="180"/>
      <c r="BK428" s="180"/>
      <c r="BL428" s="180"/>
      <c r="BM428" s="180"/>
      <c r="BN428" s="180"/>
      <c r="BO428" s="180"/>
      <c r="BP428" s="180"/>
      <c r="BQ428" s="180"/>
      <c r="BR428" s="180"/>
      <c r="BS428" s="180"/>
      <c r="BT428" s="180"/>
      <c r="BU428" s="180"/>
      <c r="BV428" s="180"/>
      <c r="BW428" s="180"/>
      <c r="BX428" s="180"/>
      <c r="BY428" s="180"/>
      <c r="BZ428" s="180"/>
      <c r="CA428" s="180"/>
      <c r="CB428" s="180"/>
      <c r="CC428" s="180"/>
      <c r="CD428" s="180"/>
      <c r="CE428" s="180"/>
      <c r="CF428" s="180"/>
      <c r="CG428" s="180"/>
      <c r="CH428" s="180"/>
      <c r="CI428" s="180"/>
      <c r="CJ428" s="180"/>
      <c r="CK428" s="180"/>
      <c r="CL428" s="180"/>
      <c r="CM428" s="180"/>
      <c r="CN428" s="180"/>
      <c r="CO428" s="180"/>
      <c r="CP428" s="180"/>
      <c r="CQ428" s="180"/>
      <c r="CR428" s="180"/>
      <c r="CS428" s="180"/>
      <c r="CT428" s="180"/>
      <c r="CU428" s="180"/>
      <c r="CV428" s="180"/>
      <c r="CW428" s="180"/>
      <c r="CX428" s="180"/>
      <c r="CY428" s="180"/>
      <c r="CZ428" s="180"/>
    </row>
    <row r="429" spans="1:104" x14ac:dyDescent="0.45">
      <c r="A429" s="180" t="s">
        <v>3</v>
      </c>
      <c r="B429" s="73">
        <v>1</v>
      </c>
      <c r="C429" s="73"/>
      <c r="D429" s="180" t="s">
        <v>296</v>
      </c>
      <c r="E429" s="39">
        <v>43593</v>
      </c>
      <c r="F429" s="179">
        <v>0.43472222222222223</v>
      </c>
      <c r="G429" s="180">
        <v>1</v>
      </c>
      <c r="H429" s="180"/>
      <c r="I429" s="180"/>
      <c r="J429" s="180"/>
      <c r="K429" s="180"/>
      <c r="L429" s="180"/>
      <c r="M429" s="180"/>
      <c r="N429" s="180"/>
      <c r="O429" s="180"/>
      <c r="P429" s="180"/>
      <c r="AS429" s="180"/>
      <c r="AT429" s="180"/>
      <c r="AU429" s="180"/>
      <c r="AV429" s="180"/>
      <c r="AW429" s="180"/>
      <c r="AX429" s="180"/>
      <c r="AY429" s="180"/>
      <c r="AZ429" s="180"/>
      <c r="BA429" s="180"/>
      <c r="BB429" s="180"/>
      <c r="BC429" s="180"/>
      <c r="BD429" s="180"/>
      <c r="BE429" s="180"/>
      <c r="BF429" s="180"/>
      <c r="BG429" s="180"/>
      <c r="BH429" s="180"/>
      <c r="BI429" s="180"/>
      <c r="BJ429" s="180"/>
      <c r="BK429" s="180"/>
      <c r="BL429" s="180"/>
      <c r="BM429" s="180"/>
      <c r="BN429" s="180"/>
      <c r="BO429" s="180"/>
      <c r="BP429" s="180"/>
      <c r="BQ429" s="180"/>
      <c r="BR429" s="180"/>
      <c r="BS429" s="180"/>
      <c r="BT429" s="180"/>
      <c r="BU429" s="180"/>
      <c r="BV429" s="180"/>
      <c r="BW429" s="180"/>
      <c r="BX429" s="180"/>
      <c r="BY429" s="180"/>
      <c r="BZ429" s="180"/>
      <c r="CA429" s="180"/>
      <c r="CB429" s="180"/>
      <c r="CC429" s="180"/>
      <c r="CD429" s="180"/>
      <c r="CE429" s="180"/>
      <c r="CF429" s="180"/>
      <c r="CG429" s="180"/>
      <c r="CH429" s="180"/>
      <c r="CI429" s="180"/>
      <c r="CJ429" s="180"/>
      <c r="CK429" s="180"/>
      <c r="CL429" s="180"/>
      <c r="CM429" s="180"/>
      <c r="CN429" s="180"/>
      <c r="CO429" s="180"/>
      <c r="CP429" s="180"/>
      <c r="CQ429" s="180"/>
      <c r="CR429" s="180"/>
      <c r="CS429" s="180"/>
      <c r="CT429" s="180"/>
      <c r="CU429" s="180"/>
      <c r="CV429" s="180"/>
      <c r="CW429" s="180"/>
      <c r="CX429" s="180"/>
      <c r="CY429" s="180"/>
      <c r="CZ429" s="180"/>
    </row>
    <row r="430" spans="1:104" x14ac:dyDescent="0.45">
      <c r="A430" s="180" t="s">
        <v>3</v>
      </c>
      <c r="B430" s="73">
        <v>1</v>
      </c>
      <c r="C430" s="73"/>
      <c r="D430" s="180" t="s">
        <v>296</v>
      </c>
      <c r="E430" s="39">
        <v>43593</v>
      </c>
      <c r="F430" s="179">
        <v>0.68055555555555547</v>
      </c>
      <c r="G430" s="180">
        <v>1</v>
      </c>
      <c r="H430" s="180"/>
      <c r="I430" s="180"/>
      <c r="J430" s="180"/>
      <c r="K430" s="180"/>
      <c r="L430" s="180"/>
      <c r="M430" s="180"/>
      <c r="N430" s="180"/>
      <c r="O430" s="180"/>
      <c r="P430" s="180"/>
      <c r="AS430" s="180"/>
      <c r="AT430" s="180"/>
      <c r="AU430" s="180"/>
      <c r="AV430" s="180"/>
      <c r="AW430" s="180"/>
      <c r="AX430" s="180"/>
      <c r="AY430" s="180"/>
      <c r="AZ430" s="180"/>
      <c r="BA430" s="180"/>
      <c r="BB430" s="180"/>
      <c r="BC430" s="180"/>
      <c r="BD430" s="180"/>
      <c r="BE430" s="180"/>
      <c r="BF430" s="180"/>
      <c r="BG430" s="180"/>
      <c r="BH430" s="180"/>
      <c r="BI430" s="180"/>
      <c r="BJ430" s="180"/>
      <c r="BK430" s="180"/>
      <c r="BL430" s="180"/>
      <c r="BM430" s="180"/>
      <c r="BN430" s="180"/>
      <c r="BO430" s="180"/>
      <c r="BP430" s="180"/>
      <c r="BQ430" s="180"/>
      <c r="BR430" s="180"/>
      <c r="BS430" s="180"/>
      <c r="BT430" s="180"/>
      <c r="BU430" s="180"/>
      <c r="BV430" s="180"/>
      <c r="BW430" s="180"/>
      <c r="BX430" s="180"/>
      <c r="BY430" s="180"/>
      <c r="BZ430" s="180"/>
      <c r="CA430" s="180"/>
      <c r="CB430" s="180"/>
      <c r="CC430" s="180"/>
      <c r="CD430" s="180"/>
      <c r="CE430" s="180"/>
      <c r="CF430" s="180"/>
      <c r="CG430" s="180"/>
      <c r="CH430" s="180"/>
      <c r="CI430" s="180"/>
      <c r="CJ430" s="180"/>
      <c r="CK430" s="180"/>
      <c r="CL430" s="180"/>
      <c r="CM430" s="180"/>
      <c r="CN430" s="180"/>
      <c r="CO430" s="180"/>
      <c r="CP430" s="180"/>
      <c r="CQ430" s="180"/>
      <c r="CR430" s="180"/>
      <c r="CS430" s="180"/>
      <c r="CT430" s="180"/>
      <c r="CU430" s="180"/>
      <c r="CV430" s="180"/>
      <c r="CW430" s="180"/>
      <c r="CX430" s="180"/>
      <c r="CY430" s="180"/>
      <c r="CZ430" s="180"/>
    </row>
    <row r="431" spans="1:104" s="180" customFormat="1" x14ac:dyDescent="0.45">
      <c r="A431" s="180" t="s">
        <v>3</v>
      </c>
      <c r="B431" s="73">
        <v>6</v>
      </c>
      <c r="C431" s="73">
        <v>6</v>
      </c>
      <c r="D431" s="180" t="s">
        <v>271</v>
      </c>
      <c r="E431" s="39">
        <v>43593</v>
      </c>
      <c r="F431" s="179"/>
    </row>
    <row r="432" spans="1:104" x14ac:dyDescent="0.45">
      <c r="A432" s="180" t="s">
        <v>3</v>
      </c>
      <c r="B432" s="73">
        <v>2</v>
      </c>
      <c r="C432" s="73"/>
      <c r="D432" s="180" t="s">
        <v>271</v>
      </c>
      <c r="E432" s="39">
        <v>43593</v>
      </c>
      <c r="F432" s="179">
        <v>0.4375</v>
      </c>
      <c r="G432" s="180">
        <v>1</v>
      </c>
      <c r="H432" s="180"/>
      <c r="I432" s="180"/>
      <c r="J432" s="180"/>
      <c r="K432" s="180"/>
      <c r="L432" s="180"/>
      <c r="M432" s="180"/>
      <c r="N432" s="180"/>
      <c r="O432" s="180"/>
      <c r="P432" s="180"/>
      <c r="AS432" s="180"/>
      <c r="AT432" s="180"/>
      <c r="AU432" s="180"/>
      <c r="AV432" s="180"/>
      <c r="AW432" s="180"/>
      <c r="AX432" s="180"/>
      <c r="AY432" s="180"/>
      <c r="AZ432" s="180"/>
      <c r="BA432" s="180"/>
      <c r="BB432" s="180"/>
      <c r="BC432" s="180"/>
      <c r="BD432" s="180"/>
      <c r="BE432" s="180"/>
      <c r="BF432" s="180"/>
      <c r="BG432" s="180"/>
      <c r="BH432" s="180"/>
      <c r="BI432" s="180"/>
      <c r="BJ432" s="180"/>
      <c r="BK432" s="180"/>
      <c r="BL432" s="180"/>
      <c r="BM432" s="180"/>
      <c r="BN432" s="180"/>
      <c r="BO432" s="180"/>
      <c r="BP432" s="180"/>
      <c r="BQ432" s="180"/>
      <c r="BR432" s="180"/>
      <c r="BS432" s="180"/>
      <c r="BT432" s="180"/>
      <c r="BU432" s="180"/>
      <c r="BV432" s="180"/>
      <c r="BW432" s="180"/>
      <c r="BX432" s="180"/>
      <c r="BY432" s="180"/>
      <c r="BZ432" s="180"/>
      <c r="CA432" s="180"/>
      <c r="CB432" s="180"/>
      <c r="CC432" s="180"/>
      <c r="CD432" s="180"/>
      <c r="CE432" s="180"/>
      <c r="CF432" s="180"/>
      <c r="CG432" s="180"/>
      <c r="CH432" s="180"/>
      <c r="CI432" s="180"/>
      <c r="CJ432" s="180"/>
      <c r="CK432" s="180"/>
      <c r="CL432" s="180"/>
      <c r="CM432" s="180"/>
      <c r="CN432" s="180"/>
      <c r="CO432" s="180"/>
      <c r="CP432" s="180"/>
      <c r="CQ432" s="180"/>
      <c r="CR432" s="180"/>
      <c r="CS432" s="180"/>
      <c r="CT432" s="180"/>
      <c r="CU432" s="180"/>
      <c r="CV432" s="180"/>
      <c r="CW432" s="180"/>
      <c r="CX432" s="180"/>
      <c r="CY432" s="180"/>
      <c r="CZ432" s="180"/>
    </row>
    <row r="433" spans="1:104" x14ac:dyDescent="0.45">
      <c r="A433" s="180" t="s">
        <v>3</v>
      </c>
      <c r="B433" s="73">
        <v>3</v>
      </c>
      <c r="C433" s="73"/>
      <c r="D433" s="180" t="s">
        <v>271</v>
      </c>
      <c r="E433" s="39">
        <v>43593</v>
      </c>
      <c r="F433" s="179">
        <v>0.32013888888888892</v>
      </c>
      <c r="G433" s="180">
        <v>2</v>
      </c>
      <c r="H433" s="180"/>
      <c r="I433" s="180"/>
      <c r="J433" s="180"/>
      <c r="K433" s="180"/>
      <c r="L433" s="180"/>
      <c r="M433" s="180"/>
      <c r="N433" s="180"/>
      <c r="O433" s="180"/>
      <c r="P433" s="180"/>
      <c r="AS433" s="180"/>
      <c r="AT433" s="180"/>
      <c r="AU433" s="180"/>
      <c r="AV433" s="180"/>
      <c r="AW433" s="180"/>
      <c r="AX433" s="180"/>
      <c r="AY433" s="180"/>
      <c r="AZ433" s="180"/>
      <c r="BA433" s="180"/>
      <c r="BB433" s="180"/>
      <c r="BC433" s="180"/>
      <c r="BD433" s="180"/>
      <c r="BE433" s="180"/>
      <c r="BF433" s="180"/>
      <c r="BG433" s="180"/>
      <c r="BH433" s="180"/>
      <c r="BI433" s="180"/>
      <c r="BJ433" s="180"/>
      <c r="BK433" s="180"/>
      <c r="BL433" s="180"/>
      <c r="BM433" s="180"/>
      <c r="BN433" s="180"/>
      <c r="BO433" s="180"/>
      <c r="BP433" s="180"/>
      <c r="BQ433" s="180"/>
      <c r="BR433" s="180"/>
      <c r="BS433" s="180"/>
      <c r="BT433" s="180"/>
      <c r="BU433" s="180"/>
      <c r="BV433" s="180"/>
      <c r="BW433" s="180"/>
      <c r="BX433" s="180"/>
      <c r="BY433" s="180"/>
      <c r="BZ433" s="180"/>
      <c r="CA433" s="180"/>
      <c r="CB433" s="180"/>
      <c r="CC433" s="180"/>
      <c r="CD433" s="180"/>
      <c r="CE433" s="180"/>
      <c r="CF433" s="180"/>
      <c r="CG433" s="180"/>
      <c r="CH433" s="180"/>
      <c r="CI433" s="180"/>
      <c r="CJ433" s="180"/>
      <c r="CK433" s="180"/>
      <c r="CL433" s="180"/>
      <c r="CM433" s="180"/>
      <c r="CN433" s="180"/>
      <c r="CO433" s="180"/>
      <c r="CP433" s="180"/>
      <c r="CQ433" s="180"/>
      <c r="CR433" s="180"/>
      <c r="CS433" s="180"/>
      <c r="CT433" s="180"/>
      <c r="CU433" s="180"/>
      <c r="CV433" s="180"/>
      <c r="CW433" s="180"/>
      <c r="CX433" s="180"/>
      <c r="CY433" s="180"/>
      <c r="CZ433" s="180"/>
    </row>
    <row r="434" spans="1:104" x14ac:dyDescent="0.45">
      <c r="A434" s="180" t="s">
        <v>3</v>
      </c>
      <c r="B434" s="73">
        <v>2</v>
      </c>
      <c r="C434" s="73"/>
      <c r="D434" s="180" t="s">
        <v>271</v>
      </c>
      <c r="E434" s="39">
        <v>43593</v>
      </c>
      <c r="F434" s="179">
        <v>0.76180555555555562</v>
      </c>
      <c r="G434" s="180">
        <v>1</v>
      </c>
      <c r="H434" s="180"/>
      <c r="I434" s="180"/>
      <c r="J434" s="180"/>
      <c r="K434" s="180"/>
      <c r="L434" s="180"/>
      <c r="M434" s="180"/>
      <c r="N434" s="180"/>
      <c r="O434" s="180"/>
      <c r="P434" s="180"/>
      <c r="AS434" s="180"/>
      <c r="AT434" s="180"/>
      <c r="AU434" s="180"/>
      <c r="AV434" s="180"/>
      <c r="AW434" s="180"/>
      <c r="AX434" s="180"/>
      <c r="AY434" s="180"/>
      <c r="AZ434" s="180"/>
      <c r="BA434" s="180"/>
      <c r="BB434" s="180"/>
      <c r="BC434" s="180"/>
      <c r="BD434" s="180"/>
      <c r="BE434" s="180"/>
      <c r="BF434" s="180"/>
      <c r="BG434" s="180"/>
      <c r="BH434" s="180"/>
      <c r="BI434" s="180"/>
      <c r="BJ434" s="180"/>
      <c r="BK434" s="180"/>
      <c r="BL434" s="180"/>
      <c r="BM434" s="180"/>
      <c r="BN434" s="180"/>
      <c r="BO434" s="180"/>
      <c r="BP434" s="180"/>
      <c r="BQ434" s="180"/>
      <c r="BR434" s="180"/>
      <c r="BS434" s="180"/>
      <c r="BT434" s="180"/>
      <c r="BU434" s="180"/>
      <c r="BV434" s="180"/>
      <c r="BW434" s="180"/>
      <c r="BX434" s="180"/>
      <c r="BY434" s="180"/>
      <c r="BZ434" s="180"/>
      <c r="CA434" s="180"/>
      <c r="CB434" s="180"/>
      <c r="CC434" s="180"/>
      <c r="CD434" s="180"/>
      <c r="CE434" s="180"/>
      <c r="CF434" s="180"/>
      <c r="CG434" s="180"/>
      <c r="CH434" s="180"/>
      <c r="CI434" s="180"/>
      <c r="CJ434" s="180"/>
      <c r="CK434" s="180"/>
      <c r="CL434" s="180"/>
      <c r="CM434" s="180"/>
      <c r="CN434" s="180"/>
      <c r="CO434" s="180"/>
      <c r="CP434" s="180"/>
      <c r="CQ434" s="180"/>
      <c r="CR434" s="180"/>
      <c r="CS434" s="180"/>
      <c r="CT434" s="180"/>
      <c r="CU434" s="180"/>
      <c r="CV434" s="180"/>
      <c r="CW434" s="180"/>
      <c r="CX434" s="180"/>
      <c r="CY434" s="180"/>
      <c r="CZ434" s="180"/>
    </row>
    <row r="435" spans="1:104" x14ac:dyDescent="0.45">
      <c r="A435" s="180" t="s">
        <v>3</v>
      </c>
      <c r="B435" s="73">
        <v>1</v>
      </c>
      <c r="C435" s="73">
        <v>1</v>
      </c>
      <c r="D435" s="180" t="s">
        <v>422</v>
      </c>
      <c r="E435" s="39">
        <v>43593</v>
      </c>
      <c r="F435" s="179">
        <v>0.27083333333333331</v>
      </c>
      <c r="G435" s="180">
        <v>1</v>
      </c>
      <c r="H435" s="180" t="s">
        <v>438</v>
      </c>
      <c r="I435" s="180"/>
      <c r="J435" s="180"/>
      <c r="K435" s="180"/>
      <c r="L435" s="180"/>
      <c r="M435" s="180"/>
      <c r="N435" s="180"/>
      <c r="O435" s="180"/>
      <c r="P435" s="180"/>
      <c r="AS435" s="180"/>
      <c r="AT435" s="180"/>
      <c r="AU435" s="180"/>
      <c r="AV435" s="180"/>
      <c r="AW435" s="180"/>
      <c r="AX435" s="180"/>
      <c r="AY435" s="180"/>
      <c r="AZ435" s="180"/>
      <c r="BA435" s="180"/>
      <c r="BB435" s="180"/>
      <c r="BC435" s="180"/>
      <c r="BD435" s="180"/>
      <c r="BE435" s="180"/>
      <c r="BF435" s="180"/>
      <c r="BG435" s="180"/>
      <c r="BH435" s="180"/>
      <c r="BI435" s="180"/>
      <c r="BJ435" s="180"/>
      <c r="BK435" s="180"/>
      <c r="BL435" s="180"/>
      <c r="BM435" s="180"/>
      <c r="BN435" s="180"/>
      <c r="BO435" s="180"/>
      <c r="BP435" s="180"/>
      <c r="BQ435" s="180"/>
      <c r="BR435" s="180"/>
      <c r="BS435" s="180"/>
      <c r="BT435" s="180"/>
      <c r="BU435" s="180"/>
      <c r="BV435" s="180"/>
      <c r="BW435" s="180"/>
      <c r="BX435" s="180"/>
      <c r="BY435" s="180"/>
      <c r="BZ435" s="180"/>
      <c r="CA435" s="180"/>
      <c r="CB435" s="180"/>
      <c r="CC435" s="180"/>
      <c r="CD435" s="180"/>
      <c r="CE435" s="180"/>
      <c r="CF435" s="180"/>
      <c r="CG435" s="180"/>
      <c r="CH435" s="180"/>
      <c r="CI435" s="180"/>
      <c r="CJ435" s="180"/>
      <c r="CK435" s="180"/>
      <c r="CL435" s="180"/>
      <c r="CM435" s="180"/>
      <c r="CN435" s="180"/>
      <c r="CO435" s="180"/>
      <c r="CP435" s="180"/>
      <c r="CQ435" s="180"/>
      <c r="CR435" s="180"/>
      <c r="CS435" s="180"/>
      <c r="CT435" s="180"/>
      <c r="CU435" s="180"/>
      <c r="CV435" s="180"/>
      <c r="CW435" s="180"/>
      <c r="CX435" s="180"/>
      <c r="CY435" s="180"/>
      <c r="CZ435" s="180"/>
    </row>
    <row r="436" spans="1:104" x14ac:dyDescent="0.45">
      <c r="A436" s="180" t="s">
        <v>3</v>
      </c>
      <c r="B436" s="73">
        <v>1</v>
      </c>
      <c r="C436" s="73"/>
      <c r="D436" s="180" t="s">
        <v>422</v>
      </c>
      <c r="E436" s="39">
        <v>43593</v>
      </c>
      <c r="F436" s="179">
        <v>0.27083333333333331</v>
      </c>
      <c r="G436" s="180">
        <v>1</v>
      </c>
      <c r="H436" s="180" t="s">
        <v>438</v>
      </c>
      <c r="I436" s="180"/>
      <c r="J436" s="180"/>
      <c r="K436" s="180"/>
      <c r="L436" s="180"/>
      <c r="M436" s="180"/>
      <c r="N436" s="180"/>
      <c r="O436" s="180"/>
      <c r="P436" s="180"/>
      <c r="AS436" s="180"/>
      <c r="AT436" s="180"/>
      <c r="AU436" s="180"/>
      <c r="AV436" s="180"/>
      <c r="AW436" s="180"/>
      <c r="AX436" s="180"/>
      <c r="AY436" s="180"/>
      <c r="AZ436" s="180"/>
      <c r="BA436" s="180"/>
      <c r="BB436" s="180"/>
      <c r="BC436" s="180"/>
      <c r="BD436" s="180"/>
      <c r="BE436" s="180"/>
      <c r="BF436" s="180"/>
      <c r="BG436" s="180"/>
      <c r="BH436" s="180"/>
      <c r="BI436" s="180"/>
      <c r="BJ436" s="180"/>
      <c r="BK436" s="180"/>
      <c r="BL436" s="180"/>
      <c r="BM436" s="180"/>
      <c r="BN436" s="180"/>
      <c r="BO436" s="180"/>
      <c r="BP436" s="180"/>
      <c r="BQ436" s="180"/>
      <c r="BR436" s="180"/>
      <c r="BS436" s="180"/>
      <c r="BT436" s="180"/>
      <c r="BU436" s="180"/>
      <c r="BV436" s="180"/>
      <c r="BW436" s="180"/>
      <c r="BX436" s="180"/>
      <c r="BY436" s="180"/>
      <c r="BZ436" s="180"/>
      <c r="CA436" s="180"/>
      <c r="CB436" s="180"/>
      <c r="CC436" s="180"/>
      <c r="CD436" s="180"/>
      <c r="CE436" s="180"/>
      <c r="CF436" s="180"/>
      <c r="CG436" s="180"/>
      <c r="CH436" s="180"/>
      <c r="CI436" s="180"/>
      <c r="CJ436" s="180"/>
      <c r="CK436" s="180"/>
      <c r="CL436" s="180"/>
      <c r="CM436" s="180"/>
      <c r="CN436" s="180"/>
      <c r="CO436" s="180"/>
      <c r="CP436" s="180"/>
      <c r="CQ436" s="180"/>
      <c r="CR436" s="180"/>
      <c r="CS436" s="180"/>
      <c r="CT436" s="180"/>
      <c r="CU436" s="180"/>
      <c r="CV436" s="180"/>
      <c r="CW436" s="180"/>
      <c r="CX436" s="180"/>
      <c r="CY436" s="180"/>
      <c r="CZ436" s="180"/>
    </row>
    <row r="437" spans="1:104" x14ac:dyDescent="0.45">
      <c r="A437" s="180" t="s">
        <v>3</v>
      </c>
      <c r="B437" s="73">
        <v>3</v>
      </c>
      <c r="C437" s="73"/>
      <c r="D437" s="180" t="s">
        <v>439</v>
      </c>
      <c r="E437" s="39">
        <v>43594</v>
      </c>
      <c r="F437" s="179">
        <v>0.27638888888888885</v>
      </c>
      <c r="G437" s="180">
        <v>1</v>
      </c>
      <c r="H437" s="180"/>
      <c r="I437" s="180"/>
      <c r="J437" s="180"/>
      <c r="K437" s="180"/>
      <c r="L437" s="180"/>
      <c r="M437" s="180"/>
      <c r="N437" s="180"/>
      <c r="O437" s="180"/>
      <c r="P437" s="180"/>
      <c r="AS437" s="180"/>
      <c r="AT437" s="180"/>
      <c r="AU437" s="180"/>
      <c r="AV437" s="180"/>
      <c r="AW437" s="180"/>
      <c r="AX437" s="180"/>
      <c r="AY437" s="180"/>
      <c r="AZ437" s="180"/>
      <c r="BA437" s="180"/>
      <c r="BB437" s="180"/>
      <c r="BC437" s="180"/>
      <c r="BD437" s="180"/>
      <c r="BE437" s="180"/>
      <c r="BF437" s="180"/>
      <c r="BG437" s="180"/>
      <c r="BH437" s="180"/>
      <c r="BI437" s="180"/>
      <c r="BJ437" s="180"/>
      <c r="BK437" s="180"/>
      <c r="BL437" s="180"/>
      <c r="BM437" s="180"/>
      <c r="BN437" s="180"/>
      <c r="BO437" s="180"/>
      <c r="BP437" s="180"/>
      <c r="BQ437" s="180"/>
      <c r="BR437" s="180"/>
      <c r="BS437" s="180"/>
      <c r="BT437" s="180"/>
      <c r="BU437" s="180"/>
      <c r="BV437" s="180"/>
      <c r="BW437" s="180"/>
      <c r="BX437" s="180"/>
      <c r="BY437" s="180"/>
      <c r="BZ437" s="180"/>
      <c r="CA437" s="180"/>
      <c r="CB437" s="180"/>
      <c r="CC437" s="180"/>
      <c r="CD437" s="180"/>
      <c r="CE437" s="180"/>
      <c r="CF437" s="180"/>
      <c r="CG437" s="180"/>
      <c r="CH437" s="180"/>
      <c r="CI437" s="180"/>
      <c r="CJ437" s="180"/>
      <c r="CK437" s="180"/>
      <c r="CL437" s="180"/>
      <c r="CM437" s="180"/>
      <c r="CN437" s="180"/>
      <c r="CO437" s="180"/>
      <c r="CP437" s="180"/>
      <c r="CQ437" s="180"/>
      <c r="CR437" s="180"/>
      <c r="CS437" s="180"/>
      <c r="CT437" s="180"/>
      <c r="CU437" s="180"/>
      <c r="CV437" s="180"/>
      <c r="CW437" s="180"/>
      <c r="CX437" s="180"/>
      <c r="CY437" s="180"/>
      <c r="CZ437" s="180"/>
    </row>
    <row r="438" spans="1:104" x14ac:dyDescent="0.45">
      <c r="A438" s="180" t="s">
        <v>3</v>
      </c>
      <c r="B438" s="73">
        <v>2</v>
      </c>
      <c r="C438" s="73"/>
      <c r="D438" s="180" t="s">
        <v>378</v>
      </c>
      <c r="E438" s="39">
        <v>43594</v>
      </c>
      <c r="F438" s="179">
        <v>0.54513888888888895</v>
      </c>
      <c r="G438" s="180">
        <v>1</v>
      </c>
      <c r="H438" s="180"/>
      <c r="I438" s="180"/>
      <c r="J438" s="180"/>
      <c r="K438" s="180"/>
      <c r="L438" s="180"/>
      <c r="M438" s="180"/>
      <c r="N438" s="180"/>
      <c r="O438" s="180"/>
      <c r="P438" s="180"/>
      <c r="AS438" s="180"/>
      <c r="AT438" s="180"/>
      <c r="AU438" s="180"/>
      <c r="AV438" s="180"/>
      <c r="AW438" s="180"/>
      <c r="AX438" s="180"/>
      <c r="AY438" s="180"/>
      <c r="AZ438" s="180"/>
      <c r="BA438" s="180"/>
      <c r="BB438" s="180"/>
      <c r="BC438" s="180"/>
      <c r="BD438" s="180"/>
      <c r="BE438" s="180"/>
      <c r="BF438" s="180"/>
      <c r="BG438" s="180"/>
      <c r="BH438" s="180"/>
      <c r="BI438" s="180"/>
      <c r="BJ438" s="180"/>
      <c r="BK438" s="180"/>
      <c r="BL438" s="180"/>
      <c r="BM438" s="180"/>
      <c r="BN438" s="180"/>
      <c r="BO438" s="180"/>
      <c r="BP438" s="180"/>
      <c r="BQ438" s="180"/>
      <c r="BR438" s="180"/>
      <c r="BS438" s="180"/>
      <c r="BT438" s="180"/>
      <c r="BU438" s="180"/>
      <c r="BV438" s="180"/>
      <c r="BW438" s="180"/>
      <c r="BX438" s="180"/>
      <c r="BY438" s="180"/>
      <c r="BZ438" s="180"/>
      <c r="CA438" s="180"/>
      <c r="CB438" s="180"/>
      <c r="CC438" s="180"/>
      <c r="CD438" s="180"/>
      <c r="CE438" s="180"/>
      <c r="CF438" s="180"/>
      <c r="CG438" s="180"/>
      <c r="CH438" s="180"/>
      <c r="CI438" s="180"/>
      <c r="CJ438" s="180"/>
      <c r="CK438" s="180"/>
      <c r="CL438" s="180"/>
      <c r="CM438" s="180"/>
      <c r="CN438" s="180"/>
      <c r="CO438" s="180"/>
      <c r="CP438" s="180"/>
      <c r="CQ438" s="180"/>
      <c r="CR438" s="180"/>
      <c r="CS438" s="180"/>
      <c r="CT438" s="180"/>
      <c r="CU438" s="180"/>
      <c r="CV438" s="180"/>
      <c r="CW438" s="180"/>
      <c r="CX438" s="180"/>
      <c r="CY438" s="180"/>
      <c r="CZ438" s="180"/>
    </row>
    <row r="439" spans="1:104" x14ac:dyDescent="0.45">
      <c r="A439" s="180" t="s">
        <v>3</v>
      </c>
      <c r="B439" s="73">
        <v>1</v>
      </c>
      <c r="C439" s="73"/>
      <c r="D439" s="180" t="s">
        <v>296</v>
      </c>
      <c r="E439" s="39">
        <v>43594</v>
      </c>
      <c r="F439" s="179">
        <v>0.28611111111111115</v>
      </c>
      <c r="G439" s="180">
        <v>1</v>
      </c>
      <c r="H439" s="180"/>
      <c r="I439" s="180"/>
      <c r="J439" s="180"/>
      <c r="K439" s="180"/>
      <c r="L439" s="180"/>
      <c r="M439" s="180"/>
      <c r="N439" s="180"/>
      <c r="O439" s="180"/>
      <c r="P439" s="180"/>
      <c r="AS439" s="180"/>
      <c r="AT439" s="180"/>
      <c r="AU439" s="180"/>
      <c r="AV439" s="180"/>
      <c r="AW439" s="180"/>
      <c r="AX439" s="180"/>
      <c r="AY439" s="180"/>
      <c r="AZ439" s="180"/>
      <c r="BA439" s="180"/>
      <c r="BB439" s="180"/>
      <c r="BC439" s="180"/>
      <c r="BD439" s="180"/>
      <c r="BE439" s="180"/>
      <c r="BF439" s="180"/>
      <c r="BG439" s="180"/>
      <c r="BH439" s="180"/>
      <c r="BI439" s="180"/>
      <c r="BJ439" s="180"/>
      <c r="BK439" s="180"/>
      <c r="BL439" s="180"/>
      <c r="BM439" s="180"/>
      <c r="BN439" s="180"/>
      <c r="BO439" s="180"/>
      <c r="BP439" s="180"/>
      <c r="BQ439" s="180"/>
      <c r="BR439" s="180"/>
      <c r="BS439" s="180"/>
      <c r="BT439" s="180"/>
      <c r="BU439" s="180"/>
      <c r="BV439" s="180"/>
      <c r="BW439" s="180"/>
      <c r="BX439" s="180"/>
      <c r="BY439" s="180"/>
      <c r="BZ439" s="180"/>
      <c r="CA439" s="180"/>
      <c r="CB439" s="180"/>
      <c r="CC439" s="180"/>
      <c r="CD439" s="180"/>
      <c r="CE439" s="180"/>
      <c r="CF439" s="180"/>
      <c r="CG439" s="180"/>
      <c r="CH439" s="180"/>
      <c r="CI439" s="180"/>
      <c r="CJ439" s="180"/>
      <c r="CK439" s="180"/>
      <c r="CL439" s="180"/>
      <c r="CM439" s="180"/>
      <c r="CN439" s="180"/>
      <c r="CO439" s="180"/>
      <c r="CP439" s="180"/>
      <c r="CQ439" s="180"/>
      <c r="CR439" s="180"/>
      <c r="CS439" s="180"/>
      <c r="CT439" s="180"/>
      <c r="CU439" s="180"/>
      <c r="CV439" s="180"/>
      <c r="CW439" s="180"/>
      <c r="CX439" s="180"/>
      <c r="CY439" s="180"/>
      <c r="CZ439" s="180"/>
    </row>
    <row r="440" spans="1:104" x14ac:dyDescent="0.45">
      <c r="A440" s="180" t="s">
        <v>3</v>
      </c>
      <c r="B440" s="73">
        <v>2</v>
      </c>
      <c r="C440" s="73"/>
      <c r="D440" s="180" t="s">
        <v>296</v>
      </c>
      <c r="E440" s="39">
        <v>43594</v>
      </c>
      <c r="F440" s="179">
        <v>0.42083333333333334</v>
      </c>
      <c r="G440" s="180">
        <v>2</v>
      </c>
      <c r="H440" s="180"/>
      <c r="I440" s="180"/>
      <c r="J440" s="180"/>
      <c r="K440" s="180"/>
      <c r="L440" s="180"/>
      <c r="M440" s="180"/>
      <c r="N440" s="180"/>
      <c r="O440" s="180"/>
      <c r="P440" s="180"/>
      <c r="AS440" s="180"/>
      <c r="AT440" s="180"/>
      <c r="AU440" s="180"/>
      <c r="AV440" s="180"/>
      <c r="AW440" s="180"/>
      <c r="AX440" s="180"/>
      <c r="AY440" s="180"/>
      <c r="AZ440" s="180"/>
      <c r="BA440" s="180"/>
      <c r="BB440" s="180"/>
      <c r="BC440" s="180"/>
      <c r="BD440" s="180"/>
      <c r="BE440" s="180"/>
      <c r="BF440" s="180"/>
      <c r="BG440" s="180"/>
      <c r="BH440" s="180"/>
      <c r="BI440" s="180"/>
      <c r="BJ440" s="180"/>
      <c r="BK440" s="180"/>
      <c r="BL440" s="180"/>
      <c r="BM440" s="180"/>
      <c r="BN440" s="180"/>
      <c r="BO440" s="180"/>
      <c r="BP440" s="180"/>
      <c r="BQ440" s="180"/>
      <c r="BR440" s="180"/>
      <c r="BS440" s="180"/>
      <c r="BT440" s="180"/>
      <c r="BU440" s="180"/>
      <c r="BV440" s="180"/>
      <c r="BW440" s="180"/>
      <c r="BX440" s="180"/>
      <c r="BY440" s="180"/>
      <c r="BZ440" s="180"/>
      <c r="CA440" s="180"/>
      <c r="CB440" s="180"/>
      <c r="CC440" s="180"/>
      <c r="CD440" s="180"/>
      <c r="CE440" s="180"/>
      <c r="CF440" s="180"/>
      <c r="CG440" s="180"/>
      <c r="CH440" s="180"/>
      <c r="CI440" s="180"/>
      <c r="CJ440" s="180"/>
      <c r="CK440" s="180"/>
      <c r="CL440" s="180"/>
      <c r="CM440" s="180"/>
      <c r="CN440" s="180"/>
      <c r="CO440" s="180"/>
      <c r="CP440" s="180"/>
      <c r="CQ440" s="180"/>
      <c r="CR440" s="180"/>
      <c r="CS440" s="180"/>
      <c r="CT440" s="180"/>
      <c r="CU440" s="180"/>
      <c r="CV440" s="180"/>
      <c r="CW440" s="180"/>
      <c r="CX440" s="180"/>
      <c r="CY440" s="180"/>
      <c r="CZ440" s="180"/>
    </row>
    <row r="441" spans="1:104" x14ac:dyDescent="0.45">
      <c r="A441" s="180" t="s">
        <v>3</v>
      </c>
      <c r="B441" s="73">
        <v>2</v>
      </c>
      <c r="C441" s="73"/>
      <c r="D441" s="180" t="s">
        <v>296</v>
      </c>
      <c r="E441" s="39">
        <v>43594</v>
      </c>
      <c r="F441" s="179">
        <v>0.26111111111111113</v>
      </c>
      <c r="G441" s="180">
        <v>1</v>
      </c>
      <c r="H441" s="180"/>
      <c r="I441" s="180"/>
      <c r="J441" s="180"/>
      <c r="K441" s="180"/>
      <c r="L441" s="180"/>
      <c r="M441" s="180"/>
      <c r="N441" s="180"/>
      <c r="O441" s="180"/>
      <c r="P441" s="180"/>
      <c r="AS441" s="180"/>
      <c r="AT441" s="180"/>
      <c r="AU441" s="180"/>
      <c r="AV441" s="180"/>
      <c r="AW441" s="180"/>
      <c r="AX441" s="180"/>
      <c r="AY441" s="180"/>
      <c r="AZ441" s="180"/>
      <c r="BA441" s="180"/>
      <c r="BB441" s="180"/>
      <c r="BC441" s="180"/>
      <c r="BD441" s="180"/>
      <c r="BE441" s="180"/>
      <c r="BF441" s="180"/>
      <c r="BG441" s="180"/>
      <c r="BH441" s="180"/>
      <c r="BI441" s="180"/>
      <c r="BJ441" s="180"/>
      <c r="BK441" s="180"/>
      <c r="BL441" s="180"/>
      <c r="BM441" s="180"/>
      <c r="BN441" s="180"/>
      <c r="BO441" s="180"/>
      <c r="BP441" s="180"/>
      <c r="BQ441" s="180"/>
      <c r="BR441" s="180"/>
      <c r="BS441" s="180"/>
      <c r="BT441" s="180"/>
      <c r="BU441" s="180"/>
      <c r="BV441" s="180"/>
      <c r="BW441" s="180"/>
      <c r="BX441" s="180"/>
      <c r="BY441" s="180"/>
      <c r="BZ441" s="180"/>
      <c r="CA441" s="180"/>
      <c r="CB441" s="180"/>
      <c r="CC441" s="180"/>
      <c r="CD441" s="180"/>
      <c r="CE441" s="180"/>
      <c r="CF441" s="180"/>
      <c r="CG441" s="180"/>
      <c r="CH441" s="180"/>
      <c r="CI441" s="180"/>
      <c r="CJ441" s="180"/>
      <c r="CK441" s="180"/>
      <c r="CL441" s="180"/>
      <c r="CM441" s="180"/>
      <c r="CN441" s="180"/>
      <c r="CO441" s="180"/>
      <c r="CP441" s="180"/>
      <c r="CQ441" s="180"/>
      <c r="CR441" s="180"/>
      <c r="CS441" s="180"/>
      <c r="CT441" s="180"/>
      <c r="CU441" s="180"/>
      <c r="CV441" s="180"/>
      <c r="CW441" s="180"/>
      <c r="CX441" s="180"/>
      <c r="CY441" s="180"/>
      <c r="CZ441" s="180"/>
    </row>
    <row r="442" spans="1:104" x14ac:dyDescent="0.45">
      <c r="A442" s="180" t="s">
        <v>3</v>
      </c>
      <c r="B442" s="73">
        <v>2</v>
      </c>
      <c r="C442" s="73"/>
      <c r="D442" s="180" t="s">
        <v>296</v>
      </c>
      <c r="E442" s="39">
        <v>43594</v>
      </c>
      <c r="F442" s="179">
        <v>0.76736111111111116</v>
      </c>
      <c r="G442" s="180">
        <v>1</v>
      </c>
      <c r="H442" s="180"/>
      <c r="I442" s="180"/>
      <c r="J442" s="180"/>
      <c r="K442" s="180"/>
      <c r="L442" s="180"/>
      <c r="M442" s="180"/>
      <c r="N442" s="180"/>
      <c r="O442" s="180"/>
      <c r="P442" s="180"/>
      <c r="AS442" s="180"/>
      <c r="AT442" s="180"/>
      <c r="AU442" s="180"/>
      <c r="AV442" s="180"/>
      <c r="AW442" s="180"/>
      <c r="AX442" s="180"/>
      <c r="AY442" s="180"/>
      <c r="AZ442" s="180"/>
      <c r="BA442" s="180"/>
      <c r="BB442" s="180"/>
      <c r="BC442" s="180"/>
      <c r="BD442" s="180"/>
      <c r="BE442" s="180"/>
      <c r="BF442" s="180"/>
      <c r="BG442" s="180"/>
      <c r="BH442" s="180"/>
      <c r="BI442" s="180"/>
      <c r="BJ442" s="180"/>
      <c r="BK442" s="180"/>
      <c r="BL442" s="180"/>
      <c r="BM442" s="180"/>
      <c r="BN442" s="180"/>
      <c r="BO442" s="180"/>
      <c r="BP442" s="180"/>
      <c r="BQ442" s="180"/>
      <c r="BR442" s="180"/>
      <c r="BS442" s="180"/>
      <c r="BT442" s="180"/>
      <c r="BU442" s="180"/>
      <c r="BV442" s="180"/>
      <c r="BW442" s="180"/>
      <c r="BX442" s="180"/>
      <c r="BY442" s="180"/>
      <c r="BZ442" s="180"/>
      <c r="CA442" s="180"/>
      <c r="CB442" s="180"/>
      <c r="CC442" s="180"/>
      <c r="CD442" s="180"/>
      <c r="CE442" s="180"/>
      <c r="CF442" s="180"/>
      <c r="CG442" s="180"/>
      <c r="CH442" s="180"/>
      <c r="CI442" s="180"/>
      <c r="CJ442" s="180"/>
      <c r="CK442" s="180"/>
      <c r="CL442" s="180"/>
      <c r="CM442" s="180"/>
      <c r="CN442" s="180"/>
      <c r="CO442" s="180"/>
      <c r="CP442" s="180"/>
      <c r="CQ442" s="180"/>
      <c r="CR442" s="180"/>
      <c r="CS442" s="180"/>
      <c r="CT442" s="180"/>
      <c r="CU442" s="180"/>
      <c r="CV442" s="180"/>
      <c r="CW442" s="180"/>
      <c r="CX442" s="180"/>
      <c r="CY442" s="180"/>
      <c r="CZ442" s="180"/>
    </row>
    <row r="443" spans="1:104" x14ac:dyDescent="0.45">
      <c r="A443" s="180" t="s">
        <v>3</v>
      </c>
      <c r="B443" s="73">
        <v>2</v>
      </c>
      <c r="C443" s="73"/>
      <c r="D443" s="180" t="s">
        <v>296</v>
      </c>
      <c r="E443" s="39">
        <v>43594</v>
      </c>
      <c r="F443" s="179">
        <v>0.72777777777777775</v>
      </c>
      <c r="G443" s="180">
        <v>1</v>
      </c>
      <c r="H443" s="180"/>
      <c r="I443" s="180"/>
      <c r="J443" s="180"/>
      <c r="K443" s="180"/>
      <c r="L443" s="180"/>
      <c r="M443" s="180"/>
      <c r="N443" s="180"/>
      <c r="O443" s="180"/>
      <c r="P443" s="180"/>
      <c r="AS443" s="180"/>
      <c r="AT443" s="180"/>
      <c r="AU443" s="180"/>
      <c r="AV443" s="180"/>
      <c r="AW443" s="180"/>
      <c r="AX443" s="180"/>
      <c r="AY443" s="180"/>
      <c r="AZ443" s="180"/>
      <c r="BA443" s="180"/>
      <c r="BB443" s="180"/>
      <c r="BC443" s="180"/>
      <c r="BD443" s="180"/>
      <c r="BE443" s="180"/>
      <c r="BF443" s="180"/>
      <c r="BG443" s="180"/>
      <c r="BH443" s="180"/>
      <c r="BI443" s="180"/>
      <c r="BJ443" s="180"/>
      <c r="BK443" s="180"/>
      <c r="BL443" s="180"/>
      <c r="BM443" s="180"/>
      <c r="BN443" s="180"/>
      <c r="BO443" s="180"/>
      <c r="BP443" s="180"/>
      <c r="BQ443" s="180"/>
      <c r="BR443" s="180"/>
      <c r="BS443" s="180"/>
      <c r="BT443" s="180"/>
      <c r="BU443" s="180"/>
      <c r="BV443" s="180"/>
      <c r="BW443" s="180"/>
      <c r="BX443" s="180"/>
      <c r="BY443" s="180"/>
      <c r="BZ443" s="180"/>
      <c r="CA443" s="180"/>
      <c r="CB443" s="180"/>
      <c r="CC443" s="180"/>
      <c r="CD443" s="180"/>
      <c r="CE443" s="180"/>
      <c r="CF443" s="180"/>
      <c r="CG443" s="180"/>
      <c r="CH443" s="180"/>
      <c r="CI443" s="180"/>
      <c r="CJ443" s="180"/>
      <c r="CK443" s="180"/>
      <c r="CL443" s="180"/>
      <c r="CM443" s="180"/>
      <c r="CN443" s="180"/>
      <c r="CO443" s="180"/>
      <c r="CP443" s="180"/>
      <c r="CQ443" s="180"/>
      <c r="CR443" s="180"/>
      <c r="CS443" s="180"/>
      <c r="CT443" s="180"/>
      <c r="CU443" s="180"/>
      <c r="CV443" s="180"/>
      <c r="CW443" s="180"/>
      <c r="CX443" s="180"/>
      <c r="CY443" s="180"/>
      <c r="CZ443" s="180"/>
    </row>
    <row r="444" spans="1:104" x14ac:dyDescent="0.45">
      <c r="A444" s="180" t="s">
        <v>3</v>
      </c>
      <c r="B444" s="73">
        <v>2</v>
      </c>
      <c r="C444" s="73"/>
      <c r="D444" s="180" t="s">
        <v>296</v>
      </c>
      <c r="E444" s="39">
        <v>43594</v>
      </c>
      <c r="F444" s="179">
        <v>0.42083333333333334</v>
      </c>
      <c r="G444" s="180">
        <v>2</v>
      </c>
      <c r="H444" s="180"/>
      <c r="I444" s="180"/>
      <c r="J444" s="180"/>
      <c r="K444" s="180"/>
      <c r="L444" s="180"/>
      <c r="M444" s="180"/>
      <c r="N444" s="180"/>
      <c r="O444" s="180"/>
      <c r="P444" s="180"/>
      <c r="AS444" s="180"/>
      <c r="AT444" s="180"/>
      <c r="AU444" s="180"/>
      <c r="AV444" s="180"/>
      <c r="AW444" s="180"/>
      <c r="AX444" s="180"/>
      <c r="AY444" s="180"/>
      <c r="AZ444" s="180"/>
      <c r="BA444" s="180"/>
      <c r="BB444" s="180"/>
      <c r="BC444" s="180"/>
      <c r="BD444" s="180"/>
      <c r="BE444" s="180"/>
      <c r="BF444" s="180"/>
      <c r="BG444" s="180"/>
      <c r="BH444" s="180"/>
      <c r="BI444" s="180"/>
      <c r="BJ444" s="180"/>
      <c r="BK444" s="180"/>
      <c r="BL444" s="180"/>
      <c r="BM444" s="180"/>
      <c r="BN444" s="180"/>
      <c r="BO444" s="180"/>
      <c r="BP444" s="180"/>
      <c r="BQ444" s="180"/>
      <c r="BR444" s="180"/>
      <c r="BS444" s="180"/>
      <c r="BT444" s="180"/>
      <c r="BU444" s="180"/>
      <c r="BV444" s="180"/>
      <c r="BW444" s="180"/>
      <c r="BX444" s="180"/>
      <c r="BY444" s="180"/>
      <c r="BZ444" s="180"/>
      <c r="CA444" s="180"/>
      <c r="CB444" s="180"/>
      <c r="CC444" s="180"/>
      <c r="CD444" s="180"/>
      <c r="CE444" s="180"/>
      <c r="CF444" s="180"/>
      <c r="CG444" s="180"/>
      <c r="CH444" s="180"/>
      <c r="CI444" s="180"/>
      <c r="CJ444" s="180"/>
      <c r="CK444" s="180"/>
      <c r="CL444" s="180"/>
      <c r="CM444" s="180"/>
      <c r="CN444" s="180"/>
      <c r="CO444" s="180"/>
      <c r="CP444" s="180"/>
      <c r="CQ444" s="180"/>
      <c r="CR444" s="180"/>
      <c r="CS444" s="180"/>
      <c r="CT444" s="180"/>
      <c r="CU444" s="180"/>
      <c r="CV444" s="180"/>
      <c r="CW444" s="180"/>
      <c r="CX444" s="180"/>
      <c r="CY444" s="180"/>
      <c r="CZ444" s="180"/>
    </row>
    <row r="445" spans="1:104" x14ac:dyDescent="0.45">
      <c r="A445" s="180" t="s">
        <v>3</v>
      </c>
      <c r="B445" s="73">
        <v>3</v>
      </c>
      <c r="C445" s="73">
        <v>3</v>
      </c>
      <c r="D445" s="180" t="s">
        <v>296</v>
      </c>
      <c r="E445" s="39">
        <v>43594</v>
      </c>
      <c r="F445" s="179">
        <v>0.71180555555555547</v>
      </c>
      <c r="G445" s="180">
        <v>12</v>
      </c>
      <c r="H445" s="180" t="s">
        <v>440</v>
      </c>
      <c r="I445" s="180"/>
      <c r="J445" s="180"/>
      <c r="K445" s="180"/>
      <c r="L445" s="180"/>
      <c r="M445" s="180"/>
      <c r="N445" s="180"/>
      <c r="O445" s="180"/>
      <c r="P445" s="180"/>
      <c r="AS445" s="180"/>
      <c r="AT445" s="180"/>
      <c r="AU445" s="180"/>
      <c r="AV445" s="180"/>
      <c r="AW445" s="180"/>
      <c r="AX445" s="180"/>
      <c r="AY445" s="180"/>
      <c r="AZ445" s="180"/>
      <c r="BA445" s="180"/>
      <c r="BB445" s="180"/>
      <c r="BC445" s="180"/>
      <c r="BD445" s="180"/>
      <c r="BE445" s="180"/>
      <c r="BF445" s="180"/>
      <c r="BG445" s="180"/>
      <c r="BH445" s="180"/>
      <c r="BI445" s="180"/>
      <c r="BJ445" s="180"/>
      <c r="BK445" s="180"/>
      <c r="BL445" s="180"/>
      <c r="BM445" s="180"/>
      <c r="BN445" s="180"/>
      <c r="BO445" s="180"/>
      <c r="BP445" s="180"/>
      <c r="BQ445" s="180"/>
      <c r="BR445" s="180"/>
      <c r="BS445" s="180"/>
      <c r="BT445" s="180"/>
      <c r="BU445" s="180"/>
      <c r="BV445" s="180"/>
      <c r="BW445" s="180"/>
      <c r="BX445" s="180"/>
      <c r="BY445" s="180"/>
      <c r="BZ445" s="180"/>
      <c r="CA445" s="180"/>
      <c r="CB445" s="180"/>
      <c r="CC445" s="180"/>
      <c r="CD445" s="180"/>
      <c r="CE445" s="180"/>
      <c r="CF445" s="180"/>
      <c r="CG445" s="180"/>
      <c r="CH445" s="180"/>
      <c r="CI445" s="180"/>
      <c r="CJ445" s="180"/>
      <c r="CK445" s="180"/>
      <c r="CL445" s="180"/>
      <c r="CM445" s="180"/>
      <c r="CN445" s="180"/>
      <c r="CO445" s="180"/>
      <c r="CP445" s="180"/>
      <c r="CQ445" s="180"/>
      <c r="CR445" s="180"/>
      <c r="CS445" s="180"/>
      <c r="CT445" s="180"/>
      <c r="CU445" s="180"/>
      <c r="CV445" s="180"/>
      <c r="CW445" s="180"/>
      <c r="CX445" s="180"/>
      <c r="CY445" s="180"/>
      <c r="CZ445" s="180"/>
    </row>
    <row r="446" spans="1:104" x14ac:dyDescent="0.45">
      <c r="A446" s="180" t="s">
        <v>3</v>
      </c>
      <c r="B446" s="73">
        <v>2</v>
      </c>
      <c r="C446" s="73"/>
      <c r="D446" s="180" t="s">
        <v>296</v>
      </c>
      <c r="E446" s="39">
        <v>43594</v>
      </c>
      <c r="F446" s="179">
        <v>0.42083333333333334</v>
      </c>
      <c r="G446" s="180">
        <v>2</v>
      </c>
      <c r="H446" s="180"/>
      <c r="I446" s="180"/>
      <c r="J446" s="180"/>
      <c r="K446" s="180"/>
      <c r="L446" s="180"/>
      <c r="M446" s="180"/>
      <c r="N446" s="180"/>
      <c r="O446" s="180"/>
      <c r="P446" s="180"/>
      <c r="AS446" s="180"/>
      <c r="AT446" s="180"/>
      <c r="AU446" s="180"/>
      <c r="AV446" s="180"/>
      <c r="AW446" s="180"/>
      <c r="AX446" s="180"/>
      <c r="AY446" s="180"/>
      <c r="AZ446" s="180"/>
      <c r="BA446" s="180"/>
      <c r="BB446" s="180"/>
      <c r="BC446" s="180"/>
      <c r="BD446" s="180"/>
      <c r="BE446" s="180"/>
      <c r="BF446" s="180"/>
      <c r="BG446" s="180"/>
      <c r="BH446" s="180"/>
      <c r="BI446" s="180"/>
      <c r="BJ446" s="180"/>
      <c r="BK446" s="180"/>
      <c r="BL446" s="180"/>
      <c r="BM446" s="180"/>
      <c r="BN446" s="180"/>
      <c r="BO446" s="180"/>
      <c r="BP446" s="180"/>
      <c r="BQ446" s="180"/>
      <c r="BR446" s="180"/>
      <c r="BS446" s="180"/>
      <c r="BT446" s="180"/>
      <c r="BU446" s="180"/>
      <c r="BV446" s="180"/>
      <c r="BW446" s="180"/>
      <c r="BX446" s="180"/>
      <c r="BY446" s="180"/>
      <c r="BZ446" s="180"/>
      <c r="CA446" s="180"/>
      <c r="CB446" s="180"/>
      <c r="CC446" s="180"/>
      <c r="CD446" s="180"/>
      <c r="CE446" s="180"/>
      <c r="CF446" s="180"/>
      <c r="CG446" s="180"/>
      <c r="CH446" s="180"/>
      <c r="CI446" s="180"/>
      <c r="CJ446" s="180"/>
      <c r="CK446" s="180"/>
      <c r="CL446" s="180"/>
      <c r="CM446" s="180"/>
      <c r="CN446" s="180"/>
      <c r="CO446" s="180"/>
      <c r="CP446" s="180"/>
      <c r="CQ446" s="180"/>
      <c r="CR446" s="180"/>
      <c r="CS446" s="180"/>
      <c r="CT446" s="180"/>
      <c r="CU446" s="180"/>
      <c r="CV446" s="180"/>
      <c r="CW446" s="180"/>
      <c r="CX446" s="180"/>
      <c r="CY446" s="180"/>
      <c r="CZ446" s="180"/>
    </row>
    <row r="447" spans="1:104" x14ac:dyDescent="0.45">
      <c r="A447" s="180" t="s">
        <v>3</v>
      </c>
      <c r="B447" s="73">
        <v>1</v>
      </c>
      <c r="C447" s="73"/>
      <c r="D447" s="180" t="s">
        <v>296</v>
      </c>
      <c r="E447" s="39">
        <v>43594</v>
      </c>
      <c r="F447" s="179">
        <v>0.4375</v>
      </c>
      <c r="G447" s="180">
        <v>4</v>
      </c>
      <c r="H447" s="180" t="s">
        <v>441</v>
      </c>
      <c r="I447" s="180"/>
      <c r="J447" s="180"/>
      <c r="K447" s="180"/>
      <c r="L447" s="180"/>
      <c r="M447" s="180"/>
      <c r="N447" s="180"/>
      <c r="O447" s="180"/>
      <c r="P447" s="180"/>
      <c r="AS447" s="180"/>
      <c r="AT447" s="180"/>
      <c r="AU447" s="180"/>
      <c r="AV447" s="180"/>
      <c r="AW447" s="180"/>
      <c r="AX447" s="180"/>
      <c r="AY447" s="180"/>
      <c r="AZ447" s="180"/>
      <c r="BA447" s="180"/>
      <c r="BB447" s="180"/>
      <c r="BC447" s="180"/>
      <c r="BD447" s="180"/>
      <c r="BE447" s="180"/>
      <c r="BF447" s="180"/>
      <c r="BG447" s="180"/>
      <c r="BH447" s="180"/>
      <c r="BI447" s="180"/>
      <c r="BJ447" s="180"/>
      <c r="BK447" s="180"/>
      <c r="BL447" s="180"/>
      <c r="BM447" s="180"/>
      <c r="BN447" s="180"/>
      <c r="BO447" s="180"/>
      <c r="BP447" s="180"/>
      <c r="BQ447" s="180"/>
      <c r="BR447" s="180"/>
      <c r="BS447" s="180"/>
      <c r="BT447" s="180"/>
      <c r="BU447" s="180"/>
      <c r="BV447" s="180"/>
      <c r="BW447" s="180"/>
      <c r="BX447" s="180"/>
      <c r="BY447" s="180"/>
      <c r="BZ447" s="180"/>
      <c r="CA447" s="180"/>
      <c r="CB447" s="180"/>
      <c r="CC447" s="180"/>
      <c r="CD447" s="180"/>
      <c r="CE447" s="180"/>
      <c r="CF447" s="180"/>
      <c r="CG447" s="180"/>
      <c r="CH447" s="180"/>
      <c r="CI447" s="180"/>
      <c r="CJ447" s="180"/>
      <c r="CK447" s="180"/>
      <c r="CL447" s="180"/>
      <c r="CM447" s="180"/>
      <c r="CN447" s="180"/>
      <c r="CO447" s="180"/>
      <c r="CP447" s="180"/>
      <c r="CQ447" s="180"/>
      <c r="CR447" s="180"/>
      <c r="CS447" s="180"/>
      <c r="CT447" s="180"/>
      <c r="CU447" s="180"/>
      <c r="CV447" s="180"/>
      <c r="CW447" s="180"/>
      <c r="CX447" s="180"/>
      <c r="CY447" s="180"/>
      <c r="CZ447" s="180"/>
    </row>
    <row r="448" spans="1:104" x14ac:dyDescent="0.45">
      <c r="A448" s="180" t="s">
        <v>3</v>
      </c>
      <c r="B448" s="73">
        <v>2</v>
      </c>
      <c r="C448" s="73">
        <v>2</v>
      </c>
      <c r="D448" s="180" t="s">
        <v>271</v>
      </c>
      <c r="E448" s="39">
        <v>43594</v>
      </c>
      <c r="F448" s="179">
        <v>0.59305555555555556</v>
      </c>
      <c r="G448" s="180">
        <v>1</v>
      </c>
      <c r="H448" s="180"/>
      <c r="I448" s="180"/>
      <c r="J448" s="180"/>
      <c r="K448" s="180"/>
      <c r="L448" s="180"/>
      <c r="M448" s="180"/>
      <c r="N448" s="180"/>
      <c r="O448" s="180"/>
      <c r="P448" s="180"/>
      <c r="AS448" s="180"/>
      <c r="AT448" s="180"/>
      <c r="AU448" s="180"/>
      <c r="AV448" s="180"/>
      <c r="AW448" s="180"/>
      <c r="AX448" s="180"/>
      <c r="AY448" s="180"/>
      <c r="AZ448" s="180"/>
      <c r="BA448" s="180"/>
      <c r="BB448" s="180"/>
      <c r="BC448" s="180"/>
      <c r="BD448" s="180"/>
      <c r="BE448" s="180"/>
      <c r="BF448" s="180"/>
      <c r="BG448" s="180"/>
      <c r="BH448" s="180"/>
      <c r="BI448" s="180"/>
      <c r="BJ448" s="180"/>
      <c r="BK448" s="180"/>
      <c r="BL448" s="180"/>
      <c r="BM448" s="180"/>
      <c r="BN448" s="180"/>
      <c r="BO448" s="180"/>
      <c r="BP448" s="180"/>
      <c r="BQ448" s="180"/>
      <c r="BR448" s="180"/>
      <c r="BS448" s="180"/>
      <c r="BT448" s="180"/>
      <c r="BU448" s="180"/>
      <c r="BV448" s="180"/>
      <c r="BW448" s="180"/>
      <c r="BX448" s="180"/>
      <c r="BY448" s="180"/>
      <c r="BZ448" s="180"/>
      <c r="CA448" s="180"/>
      <c r="CB448" s="180"/>
      <c r="CC448" s="180"/>
      <c r="CD448" s="180"/>
      <c r="CE448" s="180"/>
      <c r="CF448" s="180"/>
      <c r="CG448" s="180"/>
      <c r="CH448" s="180"/>
      <c r="CI448" s="180"/>
      <c r="CJ448" s="180"/>
      <c r="CK448" s="180"/>
      <c r="CL448" s="180"/>
      <c r="CM448" s="180"/>
      <c r="CN448" s="180"/>
      <c r="CO448" s="180"/>
      <c r="CP448" s="180"/>
      <c r="CQ448" s="180"/>
      <c r="CR448" s="180"/>
      <c r="CS448" s="180"/>
      <c r="CT448" s="180"/>
      <c r="CU448" s="180"/>
      <c r="CV448" s="180"/>
      <c r="CW448" s="180"/>
      <c r="CX448" s="180"/>
      <c r="CY448" s="180"/>
      <c r="CZ448" s="180"/>
    </row>
    <row r="449" spans="1:104" x14ac:dyDescent="0.45">
      <c r="A449" s="180" t="s">
        <v>3</v>
      </c>
      <c r="B449" s="73">
        <v>1</v>
      </c>
      <c r="C449" s="73"/>
      <c r="D449" s="180" t="s">
        <v>271</v>
      </c>
      <c r="E449" s="39">
        <v>43594</v>
      </c>
      <c r="F449" s="179">
        <v>0.65763888888888888</v>
      </c>
      <c r="G449" s="180">
        <v>1</v>
      </c>
      <c r="H449" s="180"/>
      <c r="I449" s="180"/>
      <c r="J449" s="180"/>
      <c r="K449" s="180"/>
      <c r="L449" s="180"/>
      <c r="M449" s="180"/>
      <c r="N449" s="180"/>
      <c r="O449" s="180"/>
      <c r="P449" s="180"/>
      <c r="AS449" s="180"/>
      <c r="AT449" s="180"/>
      <c r="AU449" s="180"/>
      <c r="AV449" s="180"/>
      <c r="AW449" s="180"/>
      <c r="AX449" s="180"/>
      <c r="AY449" s="180"/>
      <c r="AZ449" s="180"/>
      <c r="BA449" s="180"/>
      <c r="BB449" s="180"/>
      <c r="BC449" s="180"/>
      <c r="BD449" s="180"/>
      <c r="BE449" s="180"/>
      <c r="BF449" s="180"/>
      <c r="BG449" s="180"/>
      <c r="BH449" s="180"/>
      <c r="BI449" s="180"/>
      <c r="BJ449" s="180"/>
      <c r="BK449" s="180"/>
      <c r="BL449" s="180"/>
      <c r="BM449" s="180"/>
      <c r="BN449" s="180"/>
      <c r="BO449" s="180"/>
      <c r="BP449" s="180"/>
      <c r="BQ449" s="180"/>
      <c r="BR449" s="180"/>
      <c r="BS449" s="180"/>
      <c r="BT449" s="180"/>
      <c r="BU449" s="180"/>
      <c r="BV449" s="180"/>
      <c r="BW449" s="180"/>
      <c r="BX449" s="180"/>
      <c r="BY449" s="180"/>
      <c r="BZ449" s="180"/>
      <c r="CA449" s="180"/>
      <c r="CB449" s="180"/>
      <c r="CC449" s="180"/>
      <c r="CD449" s="180"/>
      <c r="CE449" s="180"/>
      <c r="CF449" s="180"/>
      <c r="CG449" s="180"/>
      <c r="CH449" s="180"/>
      <c r="CI449" s="180"/>
      <c r="CJ449" s="180"/>
      <c r="CK449" s="180"/>
      <c r="CL449" s="180"/>
      <c r="CM449" s="180"/>
      <c r="CN449" s="180"/>
      <c r="CO449" s="180"/>
      <c r="CP449" s="180"/>
      <c r="CQ449" s="180"/>
      <c r="CR449" s="180"/>
      <c r="CS449" s="180"/>
      <c r="CT449" s="180"/>
      <c r="CU449" s="180"/>
      <c r="CV449" s="180"/>
      <c r="CW449" s="180"/>
      <c r="CX449" s="180"/>
      <c r="CY449" s="180"/>
      <c r="CZ449" s="180"/>
    </row>
    <row r="450" spans="1:104" x14ac:dyDescent="0.45">
      <c r="A450" s="180" t="s">
        <v>3</v>
      </c>
      <c r="B450" s="73">
        <v>4</v>
      </c>
      <c r="C450" s="73"/>
      <c r="D450" s="180" t="s">
        <v>359</v>
      </c>
      <c r="E450" s="39">
        <v>43594</v>
      </c>
      <c r="F450" s="179">
        <v>0.75</v>
      </c>
      <c r="G450" s="180">
        <v>2</v>
      </c>
      <c r="H450" s="180"/>
      <c r="I450" s="180"/>
      <c r="J450" s="180"/>
      <c r="K450" s="180"/>
      <c r="L450" s="180"/>
      <c r="M450" s="180"/>
      <c r="N450" s="180"/>
      <c r="O450" s="180"/>
      <c r="P450" s="180"/>
      <c r="AS450" s="180"/>
      <c r="AT450" s="180"/>
      <c r="AU450" s="180"/>
      <c r="AV450" s="180"/>
      <c r="AW450" s="180"/>
      <c r="AX450" s="180"/>
      <c r="AY450" s="180"/>
      <c r="AZ450" s="180"/>
      <c r="BA450" s="180"/>
      <c r="BB450" s="180"/>
      <c r="BC450" s="180"/>
      <c r="BD450" s="180"/>
      <c r="BE450" s="180"/>
      <c r="BF450" s="180"/>
      <c r="BG450" s="180"/>
      <c r="BH450" s="180"/>
      <c r="BI450" s="180"/>
      <c r="BJ450" s="180"/>
      <c r="BK450" s="180"/>
      <c r="BL450" s="180"/>
      <c r="BM450" s="180"/>
      <c r="BN450" s="180"/>
      <c r="BO450" s="180"/>
      <c r="BP450" s="180"/>
      <c r="BQ450" s="180"/>
      <c r="BR450" s="180"/>
      <c r="BS450" s="180"/>
      <c r="BT450" s="180"/>
      <c r="BU450" s="180"/>
      <c r="BV450" s="180"/>
      <c r="BW450" s="180"/>
      <c r="BX450" s="180"/>
      <c r="BY450" s="180"/>
      <c r="BZ450" s="180"/>
      <c r="CA450" s="180"/>
      <c r="CB450" s="180"/>
      <c r="CC450" s="180"/>
      <c r="CD450" s="180"/>
      <c r="CE450" s="180"/>
      <c r="CF450" s="180"/>
      <c r="CG450" s="180"/>
      <c r="CH450" s="180"/>
      <c r="CI450" s="180"/>
      <c r="CJ450" s="180"/>
      <c r="CK450" s="180"/>
      <c r="CL450" s="180"/>
      <c r="CM450" s="180"/>
      <c r="CN450" s="180"/>
      <c r="CO450" s="180"/>
      <c r="CP450" s="180"/>
      <c r="CQ450" s="180"/>
      <c r="CR450" s="180"/>
      <c r="CS450" s="180"/>
      <c r="CT450" s="180"/>
      <c r="CU450" s="180"/>
      <c r="CV450" s="180"/>
      <c r="CW450" s="180"/>
      <c r="CX450" s="180"/>
      <c r="CY450" s="180"/>
      <c r="CZ450" s="180"/>
    </row>
    <row r="451" spans="1:104" x14ac:dyDescent="0.45">
      <c r="A451" s="180" t="s">
        <v>3</v>
      </c>
      <c r="B451" s="73">
        <v>1</v>
      </c>
      <c r="C451" s="73"/>
      <c r="D451" s="180" t="s">
        <v>378</v>
      </c>
      <c r="E451" s="39">
        <v>43595</v>
      </c>
      <c r="F451" s="179">
        <v>0.72916666666666663</v>
      </c>
      <c r="G451" s="180">
        <v>3</v>
      </c>
      <c r="H451" s="180"/>
      <c r="I451" s="180"/>
      <c r="J451" s="180"/>
      <c r="K451" s="180"/>
      <c r="L451" s="180"/>
      <c r="M451" s="180"/>
      <c r="N451" s="180"/>
      <c r="O451" s="180"/>
      <c r="P451" s="180"/>
      <c r="AS451" s="180"/>
      <c r="AT451" s="180"/>
      <c r="AU451" s="180"/>
      <c r="AV451" s="180"/>
      <c r="AW451" s="180"/>
      <c r="AX451" s="180"/>
      <c r="AY451" s="180"/>
      <c r="AZ451" s="180"/>
      <c r="BA451" s="180"/>
      <c r="BB451" s="180"/>
      <c r="BC451" s="180"/>
      <c r="BD451" s="180"/>
      <c r="BE451" s="180"/>
      <c r="BF451" s="180"/>
      <c r="BG451" s="180"/>
      <c r="BH451" s="180"/>
      <c r="BI451" s="180"/>
      <c r="BJ451" s="180"/>
      <c r="BK451" s="180"/>
      <c r="BL451" s="180"/>
      <c r="BM451" s="180"/>
      <c r="BN451" s="180"/>
      <c r="BO451" s="180"/>
      <c r="BP451" s="180"/>
      <c r="BQ451" s="180"/>
      <c r="BR451" s="180"/>
      <c r="BS451" s="180"/>
      <c r="BT451" s="180"/>
      <c r="BU451" s="180"/>
      <c r="BV451" s="180"/>
      <c r="BW451" s="180"/>
      <c r="BX451" s="180"/>
      <c r="BY451" s="180"/>
      <c r="BZ451" s="180"/>
      <c r="CA451" s="180"/>
      <c r="CB451" s="180"/>
      <c r="CC451" s="180"/>
      <c r="CD451" s="180"/>
      <c r="CE451" s="180"/>
      <c r="CF451" s="180"/>
      <c r="CG451" s="180"/>
      <c r="CH451" s="180"/>
      <c r="CI451" s="180"/>
      <c r="CJ451" s="180"/>
      <c r="CK451" s="180"/>
      <c r="CL451" s="180"/>
      <c r="CM451" s="180"/>
      <c r="CN451" s="180"/>
      <c r="CO451" s="180"/>
      <c r="CP451" s="180"/>
      <c r="CQ451" s="180"/>
      <c r="CR451" s="180"/>
      <c r="CS451" s="180"/>
      <c r="CT451" s="180"/>
      <c r="CU451" s="180"/>
      <c r="CV451" s="180"/>
      <c r="CW451" s="180"/>
      <c r="CX451" s="180"/>
      <c r="CY451" s="180"/>
      <c r="CZ451" s="180"/>
    </row>
    <row r="452" spans="1:104" x14ac:dyDescent="0.45">
      <c r="A452" s="180" t="s">
        <v>3</v>
      </c>
      <c r="B452" s="73">
        <v>1</v>
      </c>
      <c r="C452" s="73">
        <v>1</v>
      </c>
      <c r="D452" s="180" t="s">
        <v>309</v>
      </c>
      <c r="E452" s="39">
        <v>43595</v>
      </c>
      <c r="F452" s="179">
        <v>0.86805555555555547</v>
      </c>
      <c r="G452" s="180">
        <v>11</v>
      </c>
      <c r="H452" s="180"/>
      <c r="I452" s="180"/>
      <c r="J452" s="180"/>
      <c r="K452" s="180"/>
      <c r="L452" s="180"/>
      <c r="M452" s="180"/>
      <c r="N452" s="180"/>
      <c r="O452" s="180"/>
      <c r="P452" s="180"/>
      <c r="AS452" s="180"/>
      <c r="AT452" s="180"/>
      <c r="AU452" s="180"/>
      <c r="AV452" s="180"/>
      <c r="AW452" s="180"/>
      <c r="AX452" s="180"/>
      <c r="AY452" s="180"/>
      <c r="AZ452" s="180"/>
      <c r="BA452" s="180"/>
      <c r="BB452" s="180"/>
      <c r="BC452" s="180"/>
      <c r="BD452" s="180"/>
      <c r="BE452" s="180"/>
      <c r="BF452" s="180"/>
      <c r="BG452" s="180"/>
      <c r="BH452" s="180"/>
      <c r="BI452" s="180"/>
      <c r="BJ452" s="180"/>
      <c r="BK452" s="180"/>
      <c r="BL452" s="180"/>
      <c r="BM452" s="180"/>
      <c r="BN452" s="180"/>
      <c r="BO452" s="180"/>
      <c r="BP452" s="180"/>
      <c r="BQ452" s="180"/>
      <c r="BR452" s="180"/>
      <c r="BS452" s="180"/>
      <c r="BT452" s="180"/>
      <c r="BU452" s="180"/>
      <c r="BV452" s="180"/>
      <c r="BW452" s="180"/>
      <c r="BX452" s="180"/>
      <c r="BY452" s="180"/>
      <c r="BZ452" s="180"/>
      <c r="CA452" s="180"/>
      <c r="CB452" s="180"/>
      <c r="CC452" s="180"/>
      <c r="CD452" s="180"/>
      <c r="CE452" s="180"/>
      <c r="CF452" s="180"/>
      <c r="CG452" s="180"/>
      <c r="CH452" s="180"/>
      <c r="CI452" s="180"/>
      <c r="CJ452" s="180"/>
      <c r="CK452" s="180"/>
      <c r="CL452" s="180"/>
      <c r="CM452" s="180"/>
      <c r="CN452" s="180"/>
      <c r="CO452" s="180"/>
      <c r="CP452" s="180"/>
      <c r="CQ452" s="180"/>
      <c r="CR452" s="180"/>
      <c r="CS452" s="180"/>
      <c r="CT452" s="180"/>
      <c r="CU452" s="180"/>
      <c r="CV452" s="180"/>
      <c r="CW452" s="180"/>
      <c r="CX452" s="180"/>
      <c r="CY452" s="180"/>
      <c r="CZ452" s="180"/>
    </row>
    <row r="453" spans="1:104" x14ac:dyDescent="0.45">
      <c r="A453" s="180" t="s">
        <v>3</v>
      </c>
      <c r="B453" s="73">
        <v>1</v>
      </c>
      <c r="C453" s="73"/>
      <c r="D453" s="180" t="s">
        <v>296</v>
      </c>
      <c r="E453" s="39">
        <v>43595</v>
      </c>
      <c r="F453" s="179">
        <v>0.57847222222222217</v>
      </c>
      <c r="G453" s="180">
        <v>1</v>
      </c>
      <c r="H453" s="180"/>
      <c r="I453" s="180"/>
      <c r="J453" s="180"/>
      <c r="K453" s="180"/>
      <c r="L453" s="180"/>
      <c r="M453" s="180"/>
      <c r="N453" s="180"/>
      <c r="O453" s="180"/>
      <c r="P453" s="180"/>
      <c r="AS453" s="180"/>
      <c r="AT453" s="180"/>
      <c r="AU453" s="180"/>
      <c r="AV453" s="180"/>
      <c r="AW453" s="180"/>
      <c r="AX453" s="180"/>
      <c r="AY453" s="180"/>
      <c r="AZ453" s="180"/>
      <c r="BA453" s="180"/>
      <c r="BB453" s="180"/>
      <c r="BC453" s="180"/>
      <c r="BD453" s="180"/>
      <c r="BE453" s="180"/>
      <c r="BF453" s="180"/>
      <c r="BG453" s="180"/>
      <c r="BH453" s="180"/>
      <c r="BI453" s="180"/>
      <c r="BJ453" s="180"/>
      <c r="BK453" s="180"/>
      <c r="BL453" s="180"/>
      <c r="BM453" s="180"/>
      <c r="BN453" s="180"/>
      <c r="BO453" s="180"/>
      <c r="BP453" s="180"/>
      <c r="BQ453" s="180"/>
      <c r="BR453" s="180"/>
      <c r="BS453" s="180"/>
      <c r="BT453" s="180"/>
      <c r="BU453" s="180"/>
      <c r="BV453" s="180"/>
      <c r="BW453" s="180"/>
      <c r="BX453" s="180"/>
      <c r="BY453" s="180"/>
      <c r="BZ453" s="180"/>
      <c r="CA453" s="180"/>
      <c r="CB453" s="180"/>
      <c r="CC453" s="180"/>
      <c r="CD453" s="180"/>
      <c r="CE453" s="180"/>
      <c r="CF453" s="180"/>
      <c r="CG453" s="180"/>
      <c r="CH453" s="180"/>
      <c r="CI453" s="180"/>
      <c r="CJ453" s="180"/>
      <c r="CK453" s="180"/>
      <c r="CL453" s="180"/>
      <c r="CM453" s="180"/>
      <c r="CN453" s="180"/>
      <c r="CO453" s="180"/>
      <c r="CP453" s="180"/>
      <c r="CQ453" s="180"/>
      <c r="CR453" s="180"/>
      <c r="CS453" s="180"/>
      <c r="CT453" s="180"/>
      <c r="CU453" s="180"/>
      <c r="CV453" s="180"/>
      <c r="CW453" s="180"/>
      <c r="CX453" s="180"/>
      <c r="CY453" s="180"/>
      <c r="CZ453" s="180"/>
    </row>
    <row r="454" spans="1:104" x14ac:dyDescent="0.45">
      <c r="A454" s="180" t="s">
        <v>3</v>
      </c>
      <c r="B454" s="73">
        <v>1</v>
      </c>
      <c r="C454" s="73"/>
      <c r="D454" s="180" t="s">
        <v>296</v>
      </c>
      <c r="E454" s="39">
        <v>43595</v>
      </c>
      <c r="F454" s="179">
        <v>0.6694444444444444</v>
      </c>
      <c r="G454" s="180">
        <v>2</v>
      </c>
      <c r="H454" s="180"/>
      <c r="I454" s="180"/>
      <c r="J454" s="180"/>
      <c r="K454" s="180"/>
      <c r="L454" s="180"/>
      <c r="M454" s="180"/>
      <c r="N454" s="180"/>
      <c r="O454" s="180"/>
      <c r="P454" s="180"/>
      <c r="AS454" s="180"/>
      <c r="AT454" s="180"/>
      <c r="AU454" s="180"/>
      <c r="AV454" s="180"/>
      <c r="AW454" s="180"/>
      <c r="AX454" s="180"/>
      <c r="AY454" s="180"/>
      <c r="AZ454" s="180"/>
      <c r="BA454" s="180"/>
      <c r="BB454" s="180"/>
      <c r="BC454" s="180"/>
      <c r="BD454" s="180"/>
      <c r="BE454" s="180"/>
      <c r="BF454" s="180"/>
      <c r="BG454" s="180"/>
      <c r="BH454" s="180"/>
      <c r="BI454" s="180"/>
      <c r="BJ454" s="180"/>
      <c r="BK454" s="180"/>
      <c r="BL454" s="180"/>
      <c r="BM454" s="180"/>
      <c r="BN454" s="180"/>
      <c r="BO454" s="180"/>
      <c r="BP454" s="180"/>
      <c r="BQ454" s="180"/>
      <c r="BR454" s="180"/>
      <c r="BS454" s="180"/>
      <c r="BT454" s="180"/>
      <c r="BU454" s="180"/>
      <c r="BV454" s="180"/>
      <c r="BW454" s="180"/>
      <c r="BX454" s="180"/>
      <c r="BY454" s="180"/>
      <c r="BZ454" s="180"/>
      <c r="CA454" s="180"/>
      <c r="CB454" s="180"/>
      <c r="CC454" s="180"/>
      <c r="CD454" s="180"/>
      <c r="CE454" s="180"/>
      <c r="CF454" s="180"/>
      <c r="CG454" s="180"/>
      <c r="CH454" s="180"/>
      <c r="CI454" s="180"/>
      <c r="CJ454" s="180"/>
      <c r="CK454" s="180"/>
      <c r="CL454" s="180"/>
      <c r="CM454" s="180"/>
      <c r="CN454" s="180"/>
      <c r="CO454" s="180"/>
      <c r="CP454" s="180"/>
      <c r="CQ454" s="180"/>
      <c r="CR454" s="180"/>
      <c r="CS454" s="180"/>
      <c r="CT454" s="180"/>
      <c r="CU454" s="180"/>
      <c r="CV454" s="180"/>
      <c r="CW454" s="180"/>
      <c r="CX454" s="180"/>
      <c r="CY454" s="180"/>
      <c r="CZ454" s="180"/>
    </row>
    <row r="455" spans="1:104" x14ac:dyDescent="0.45">
      <c r="A455" s="180" t="s">
        <v>3</v>
      </c>
      <c r="B455" s="73">
        <v>1</v>
      </c>
      <c r="C455" s="73"/>
      <c r="D455" s="180" t="s">
        <v>296</v>
      </c>
      <c r="E455" s="39">
        <v>43595</v>
      </c>
      <c r="F455" s="179">
        <v>0.6875</v>
      </c>
      <c r="G455" s="180">
        <v>1</v>
      </c>
      <c r="H455" s="180"/>
      <c r="I455" s="180"/>
      <c r="J455" s="180"/>
      <c r="K455" s="180"/>
      <c r="L455" s="180"/>
      <c r="M455" s="180"/>
      <c r="N455" s="180"/>
      <c r="O455" s="180"/>
      <c r="P455" s="180"/>
      <c r="AS455" s="180"/>
      <c r="AT455" s="180"/>
      <c r="AU455" s="180"/>
      <c r="AV455" s="180"/>
      <c r="AW455" s="180"/>
      <c r="AX455" s="180"/>
      <c r="AY455" s="180"/>
      <c r="AZ455" s="180"/>
      <c r="BA455" s="180"/>
      <c r="BB455" s="180"/>
      <c r="BC455" s="180"/>
      <c r="BD455" s="180"/>
      <c r="BE455" s="180"/>
      <c r="BF455" s="180"/>
      <c r="BG455" s="180"/>
      <c r="BH455" s="180"/>
      <c r="BI455" s="180"/>
      <c r="BJ455" s="180"/>
      <c r="BK455" s="180"/>
      <c r="BL455" s="180"/>
      <c r="BM455" s="180"/>
      <c r="BN455" s="180"/>
      <c r="BO455" s="180"/>
      <c r="BP455" s="180"/>
      <c r="BQ455" s="180"/>
      <c r="BR455" s="180"/>
      <c r="BS455" s="180"/>
      <c r="BT455" s="180"/>
      <c r="BU455" s="180"/>
      <c r="BV455" s="180"/>
      <c r="BW455" s="180"/>
      <c r="BX455" s="180"/>
      <c r="BY455" s="180"/>
      <c r="BZ455" s="180"/>
      <c r="CA455" s="180"/>
      <c r="CB455" s="180"/>
      <c r="CC455" s="180"/>
      <c r="CD455" s="180"/>
      <c r="CE455" s="180"/>
      <c r="CF455" s="180"/>
      <c r="CG455" s="180"/>
      <c r="CH455" s="180"/>
      <c r="CI455" s="180"/>
      <c r="CJ455" s="180"/>
      <c r="CK455" s="180"/>
      <c r="CL455" s="180"/>
      <c r="CM455" s="180"/>
      <c r="CN455" s="180"/>
      <c r="CO455" s="180"/>
      <c r="CP455" s="180"/>
      <c r="CQ455" s="180"/>
      <c r="CR455" s="180"/>
      <c r="CS455" s="180"/>
      <c r="CT455" s="180"/>
      <c r="CU455" s="180"/>
      <c r="CV455" s="180"/>
      <c r="CW455" s="180"/>
      <c r="CX455" s="180"/>
      <c r="CY455" s="180"/>
      <c r="CZ455" s="180"/>
    </row>
    <row r="456" spans="1:104" x14ac:dyDescent="0.45">
      <c r="A456" s="180" t="s">
        <v>3</v>
      </c>
      <c r="B456" s="73">
        <v>1</v>
      </c>
      <c r="C456" s="73"/>
      <c r="D456" s="180" t="s">
        <v>296</v>
      </c>
      <c r="E456" s="39">
        <v>43595</v>
      </c>
      <c r="F456" s="179">
        <v>0.75</v>
      </c>
      <c r="G456" s="180">
        <v>1</v>
      </c>
      <c r="H456" s="180"/>
      <c r="I456" s="180"/>
      <c r="J456" s="180"/>
      <c r="K456" s="180"/>
      <c r="L456" s="180"/>
      <c r="M456" s="180"/>
      <c r="N456" s="180"/>
      <c r="O456" s="180"/>
      <c r="P456" s="180"/>
      <c r="AS456" s="180"/>
      <c r="AT456" s="180"/>
      <c r="AU456" s="180"/>
      <c r="AV456" s="180"/>
      <c r="AW456" s="180"/>
      <c r="AX456" s="180"/>
      <c r="AY456" s="180"/>
      <c r="AZ456" s="180"/>
      <c r="BA456" s="180"/>
      <c r="BB456" s="180"/>
      <c r="BC456" s="180"/>
      <c r="BD456" s="180"/>
      <c r="BE456" s="180"/>
      <c r="BF456" s="180"/>
      <c r="BG456" s="180"/>
      <c r="BH456" s="180"/>
      <c r="BI456" s="180"/>
      <c r="BJ456" s="180"/>
      <c r="BK456" s="180"/>
      <c r="BL456" s="180"/>
      <c r="BM456" s="180"/>
      <c r="BN456" s="180"/>
      <c r="BO456" s="180"/>
      <c r="BP456" s="180"/>
      <c r="BQ456" s="180"/>
      <c r="BR456" s="180"/>
      <c r="BS456" s="180"/>
      <c r="BT456" s="180"/>
      <c r="BU456" s="180"/>
      <c r="BV456" s="180"/>
      <c r="BW456" s="180"/>
      <c r="BX456" s="180"/>
      <c r="BY456" s="180"/>
      <c r="BZ456" s="180"/>
      <c r="CA456" s="180"/>
      <c r="CB456" s="180"/>
      <c r="CC456" s="180"/>
      <c r="CD456" s="180"/>
      <c r="CE456" s="180"/>
      <c r="CF456" s="180"/>
      <c r="CG456" s="180"/>
      <c r="CH456" s="180"/>
      <c r="CI456" s="180"/>
      <c r="CJ456" s="180"/>
      <c r="CK456" s="180"/>
      <c r="CL456" s="180"/>
      <c r="CM456" s="180"/>
      <c r="CN456" s="180"/>
      <c r="CO456" s="180"/>
      <c r="CP456" s="180"/>
      <c r="CQ456" s="180"/>
      <c r="CR456" s="180"/>
      <c r="CS456" s="180"/>
      <c r="CT456" s="180"/>
      <c r="CU456" s="180"/>
      <c r="CV456" s="180"/>
      <c r="CW456" s="180"/>
      <c r="CX456" s="180"/>
      <c r="CY456" s="180"/>
      <c r="CZ456" s="180"/>
    </row>
    <row r="457" spans="1:104" x14ac:dyDescent="0.45">
      <c r="A457" s="180" t="s">
        <v>3</v>
      </c>
      <c r="B457" s="73">
        <v>2</v>
      </c>
      <c r="C457" s="73">
        <v>2</v>
      </c>
      <c r="D457" s="180" t="s">
        <v>296</v>
      </c>
      <c r="E457" s="39">
        <v>43595</v>
      </c>
      <c r="F457" s="179">
        <v>0.76874999999999993</v>
      </c>
      <c r="G457" s="180">
        <v>1</v>
      </c>
      <c r="H457" s="180"/>
      <c r="I457" s="180"/>
      <c r="J457" s="180"/>
      <c r="K457" s="180"/>
      <c r="L457" s="180"/>
      <c r="M457" s="180"/>
      <c r="N457" s="180"/>
      <c r="O457" s="180"/>
      <c r="P457" s="180"/>
      <c r="AS457" s="180"/>
      <c r="AT457" s="180"/>
      <c r="AU457" s="180"/>
      <c r="AV457" s="180"/>
      <c r="AW457" s="180"/>
      <c r="AX457" s="180"/>
      <c r="AY457" s="180"/>
      <c r="AZ457" s="180"/>
      <c r="BA457" s="180"/>
      <c r="BB457" s="180"/>
      <c r="BC457" s="180"/>
      <c r="BD457" s="180"/>
      <c r="BE457" s="180"/>
      <c r="BF457" s="180"/>
      <c r="BG457" s="180"/>
      <c r="BH457" s="180"/>
      <c r="BI457" s="180"/>
      <c r="BJ457" s="180"/>
      <c r="BK457" s="180"/>
      <c r="BL457" s="180"/>
      <c r="BM457" s="180"/>
      <c r="BN457" s="180"/>
      <c r="BO457" s="180"/>
      <c r="BP457" s="180"/>
      <c r="BQ457" s="180"/>
      <c r="BR457" s="180"/>
      <c r="BS457" s="180"/>
      <c r="BT457" s="180"/>
      <c r="BU457" s="180"/>
      <c r="BV457" s="180"/>
      <c r="BW457" s="180"/>
      <c r="BX457" s="180"/>
      <c r="BY457" s="180"/>
      <c r="BZ457" s="180"/>
      <c r="CA457" s="180"/>
      <c r="CB457" s="180"/>
      <c r="CC457" s="180"/>
      <c r="CD457" s="180"/>
      <c r="CE457" s="180"/>
      <c r="CF457" s="180"/>
      <c r="CG457" s="180"/>
      <c r="CH457" s="180"/>
      <c r="CI457" s="180"/>
      <c r="CJ457" s="180"/>
      <c r="CK457" s="180"/>
      <c r="CL457" s="180"/>
      <c r="CM457" s="180"/>
      <c r="CN457" s="180"/>
      <c r="CO457" s="180"/>
      <c r="CP457" s="180"/>
      <c r="CQ457" s="180"/>
      <c r="CR457" s="180"/>
      <c r="CS457" s="180"/>
      <c r="CT457" s="180"/>
      <c r="CU457" s="180"/>
      <c r="CV457" s="180"/>
      <c r="CW457" s="180"/>
      <c r="CX457" s="180"/>
      <c r="CY457" s="180"/>
      <c r="CZ457" s="180"/>
    </row>
    <row r="458" spans="1:104" x14ac:dyDescent="0.45">
      <c r="A458" s="180" t="s">
        <v>3</v>
      </c>
      <c r="B458" s="73">
        <v>1</v>
      </c>
      <c r="C458" s="73">
        <v>1</v>
      </c>
      <c r="D458" s="180" t="s">
        <v>271</v>
      </c>
      <c r="E458" s="39">
        <v>43595</v>
      </c>
      <c r="F458" s="179">
        <v>0.74305555555555547</v>
      </c>
      <c r="G458" s="180">
        <v>1</v>
      </c>
      <c r="H458" s="180" t="s">
        <v>411</v>
      </c>
      <c r="I458" s="180"/>
      <c r="J458" s="180"/>
      <c r="K458" s="180"/>
      <c r="L458" s="180"/>
      <c r="M458" s="180"/>
      <c r="N458" s="180"/>
      <c r="O458" s="180"/>
      <c r="P458" s="180"/>
      <c r="AS458" s="180"/>
      <c r="AT458" s="180"/>
      <c r="AU458" s="180"/>
      <c r="AV458" s="180"/>
      <c r="AW458" s="180"/>
      <c r="AX458" s="180"/>
      <c r="AY458" s="180"/>
      <c r="AZ458" s="180"/>
      <c r="BA458" s="180"/>
      <c r="BB458" s="180"/>
      <c r="BC458" s="180"/>
      <c r="BD458" s="180"/>
      <c r="BE458" s="180"/>
      <c r="BF458" s="180"/>
      <c r="BG458" s="180"/>
      <c r="BH458" s="180"/>
      <c r="BI458" s="180"/>
      <c r="BJ458" s="180"/>
      <c r="BK458" s="180"/>
      <c r="BL458" s="180"/>
      <c r="BM458" s="180"/>
      <c r="BN458" s="180"/>
      <c r="BO458" s="180"/>
      <c r="BP458" s="180"/>
      <c r="BQ458" s="180"/>
      <c r="BR458" s="180"/>
      <c r="BS458" s="180"/>
      <c r="BT458" s="180"/>
      <c r="BU458" s="180"/>
      <c r="BV458" s="180"/>
      <c r="BW458" s="180"/>
      <c r="BX458" s="180"/>
      <c r="BY458" s="180"/>
      <c r="BZ458" s="180"/>
      <c r="CA458" s="180"/>
      <c r="CB458" s="180"/>
      <c r="CC458" s="180"/>
      <c r="CD458" s="180"/>
      <c r="CE458" s="180"/>
      <c r="CF458" s="180"/>
      <c r="CG458" s="180"/>
      <c r="CH458" s="180"/>
      <c r="CI458" s="180"/>
      <c r="CJ458" s="180"/>
      <c r="CK458" s="180"/>
      <c r="CL458" s="180"/>
      <c r="CM458" s="180"/>
      <c r="CN458" s="180"/>
      <c r="CO458" s="180"/>
      <c r="CP458" s="180"/>
      <c r="CQ458" s="180"/>
      <c r="CR458" s="180"/>
      <c r="CS458" s="180"/>
      <c r="CT458" s="180"/>
      <c r="CU458" s="180"/>
      <c r="CV458" s="180"/>
      <c r="CW458" s="180"/>
      <c r="CX458" s="180"/>
      <c r="CY458" s="180"/>
      <c r="CZ458" s="180"/>
    </row>
    <row r="459" spans="1:104" x14ac:dyDescent="0.45">
      <c r="A459" s="180" t="s">
        <v>3</v>
      </c>
      <c r="B459" s="73">
        <v>1</v>
      </c>
      <c r="C459" s="73"/>
      <c r="D459" s="180" t="s">
        <v>271</v>
      </c>
      <c r="E459" s="39">
        <v>43595</v>
      </c>
      <c r="F459" s="179">
        <v>0.625</v>
      </c>
      <c r="G459" s="180">
        <v>1</v>
      </c>
      <c r="H459" s="180"/>
      <c r="I459" s="180"/>
      <c r="J459" s="180"/>
      <c r="K459" s="180"/>
      <c r="L459" s="180"/>
      <c r="M459" s="180"/>
      <c r="N459" s="180"/>
      <c r="O459" s="180"/>
      <c r="P459" s="180"/>
      <c r="AS459" s="180"/>
      <c r="AT459" s="180"/>
      <c r="AU459" s="180"/>
      <c r="AV459" s="180"/>
      <c r="AW459" s="180"/>
      <c r="AX459" s="180"/>
      <c r="AY459" s="180"/>
      <c r="AZ459" s="180"/>
      <c r="BA459" s="180"/>
      <c r="BB459" s="180"/>
      <c r="BC459" s="180"/>
      <c r="BD459" s="180"/>
      <c r="BE459" s="180"/>
      <c r="BF459" s="180"/>
      <c r="BG459" s="180"/>
      <c r="BH459" s="180"/>
      <c r="BI459" s="180"/>
      <c r="BJ459" s="180"/>
      <c r="BK459" s="180"/>
      <c r="BL459" s="180"/>
      <c r="BM459" s="180"/>
      <c r="BN459" s="180"/>
      <c r="BO459" s="180"/>
      <c r="BP459" s="180"/>
      <c r="BQ459" s="180"/>
      <c r="BR459" s="180"/>
      <c r="BS459" s="180"/>
      <c r="BT459" s="180"/>
      <c r="BU459" s="180"/>
      <c r="BV459" s="180"/>
      <c r="BW459" s="180"/>
      <c r="BX459" s="180"/>
      <c r="BY459" s="180"/>
      <c r="BZ459" s="180"/>
      <c r="CA459" s="180"/>
      <c r="CB459" s="180"/>
      <c r="CC459" s="180"/>
      <c r="CD459" s="180"/>
      <c r="CE459" s="180"/>
      <c r="CF459" s="180"/>
      <c r="CG459" s="180"/>
      <c r="CH459" s="180"/>
      <c r="CI459" s="180"/>
      <c r="CJ459" s="180"/>
      <c r="CK459" s="180"/>
      <c r="CL459" s="180"/>
      <c r="CM459" s="180"/>
      <c r="CN459" s="180"/>
      <c r="CO459" s="180"/>
      <c r="CP459" s="180"/>
      <c r="CQ459" s="180"/>
      <c r="CR459" s="180"/>
      <c r="CS459" s="180"/>
      <c r="CT459" s="180"/>
      <c r="CU459" s="180"/>
      <c r="CV459" s="180"/>
      <c r="CW459" s="180"/>
      <c r="CX459" s="180"/>
      <c r="CY459" s="180"/>
      <c r="CZ459" s="180"/>
    </row>
    <row r="460" spans="1:104" x14ac:dyDescent="0.45">
      <c r="A460" s="180" t="s">
        <v>3</v>
      </c>
      <c r="B460" s="73">
        <v>2</v>
      </c>
      <c r="C460" s="73"/>
      <c r="D460" s="180" t="s">
        <v>415</v>
      </c>
      <c r="E460" s="39">
        <v>43595</v>
      </c>
      <c r="F460" s="180"/>
      <c r="G460" s="180"/>
      <c r="H460" s="180"/>
      <c r="I460" s="180"/>
      <c r="J460" s="180"/>
      <c r="K460" s="180"/>
      <c r="L460" s="180"/>
      <c r="M460" s="180"/>
      <c r="N460" s="180"/>
      <c r="O460" s="180"/>
      <c r="P460" s="180"/>
      <c r="AS460" s="180"/>
      <c r="AT460" s="180"/>
      <c r="AU460" s="180"/>
      <c r="AV460" s="180"/>
      <c r="AW460" s="180"/>
      <c r="AX460" s="180"/>
      <c r="AY460" s="180"/>
      <c r="AZ460" s="180"/>
      <c r="BA460" s="180"/>
      <c r="BB460" s="180"/>
      <c r="BC460" s="180"/>
      <c r="BD460" s="180"/>
      <c r="BE460" s="180"/>
      <c r="BF460" s="180"/>
      <c r="BG460" s="180"/>
      <c r="BH460" s="180"/>
      <c r="BI460" s="180"/>
      <c r="BJ460" s="180"/>
      <c r="BK460" s="180"/>
      <c r="BL460" s="180"/>
      <c r="BM460" s="180"/>
      <c r="BN460" s="180"/>
      <c r="BO460" s="180"/>
      <c r="BP460" s="180"/>
      <c r="BQ460" s="180"/>
      <c r="BR460" s="180"/>
      <c r="BS460" s="180"/>
      <c r="BT460" s="180"/>
      <c r="BU460" s="180"/>
      <c r="BV460" s="180"/>
      <c r="BW460" s="180"/>
      <c r="BX460" s="180"/>
      <c r="BY460" s="180"/>
      <c r="BZ460" s="180"/>
      <c r="CA460" s="180"/>
      <c r="CB460" s="180"/>
      <c r="CC460" s="180"/>
      <c r="CD460" s="180"/>
      <c r="CE460" s="180"/>
      <c r="CF460" s="180"/>
      <c r="CG460" s="180"/>
      <c r="CH460" s="180"/>
      <c r="CI460" s="180"/>
      <c r="CJ460" s="180"/>
      <c r="CK460" s="180"/>
      <c r="CL460" s="180"/>
      <c r="CM460" s="180"/>
      <c r="CN460" s="180"/>
      <c r="CO460" s="180"/>
      <c r="CP460" s="180"/>
      <c r="CQ460" s="180"/>
      <c r="CR460" s="180"/>
      <c r="CS460" s="180"/>
      <c r="CT460" s="180"/>
      <c r="CU460" s="180"/>
      <c r="CV460" s="180"/>
      <c r="CW460" s="180"/>
      <c r="CX460" s="180"/>
      <c r="CY460" s="180"/>
      <c r="CZ460" s="180"/>
    </row>
    <row r="461" spans="1:104" x14ac:dyDescent="0.45">
      <c r="A461" s="180" t="s">
        <v>3</v>
      </c>
      <c r="B461" s="73">
        <v>3</v>
      </c>
      <c r="C461" s="73"/>
      <c r="D461" s="180" t="s">
        <v>321</v>
      </c>
      <c r="E461" s="39">
        <v>43596</v>
      </c>
      <c r="F461" s="179">
        <v>0.36388888888888887</v>
      </c>
      <c r="G461" s="180">
        <v>1</v>
      </c>
      <c r="H461" s="180"/>
      <c r="I461" s="180"/>
      <c r="J461" s="180"/>
      <c r="K461" s="180"/>
      <c r="L461" s="180"/>
      <c r="M461" s="180"/>
      <c r="N461" s="180"/>
      <c r="O461" s="180"/>
      <c r="P461" s="180"/>
      <c r="AS461" s="180"/>
      <c r="AT461" s="180"/>
      <c r="AU461" s="180"/>
      <c r="AV461" s="180"/>
      <c r="AW461" s="180"/>
      <c r="AX461" s="180"/>
      <c r="AY461" s="180"/>
      <c r="AZ461" s="180"/>
      <c r="BA461" s="180"/>
      <c r="BB461" s="180"/>
      <c r="BC461" s="180"/>
      <c r="BD461" s="180"/>
      <c r="BE461" s="180"/>
      <c r="BF461" s="180"/>
      <c r="BG461" s="180"/>
      <c r="BH461" s="180"/>
      <c r="BI461" s="180"/>
      <c r="BJ461" s="180"/>
      <c r="BK461" s="180"/>
      <c r="BL461" s="180"/>
      <c r="BM461" s="180"/>
      <c r="BN461" s="180"/>
      <c r="BO461" s="180"/>
      <c r="BP461" s="180"/>
      <c r="BQ461" s="180"/>
      <c r="BR461" s="180"/>
      <c r="BS461" s="180"/>
      <c r="BT461" s="180"/>
      <c r="BU461" s="180"/>
      <c r="BV461" s="180"/>
      <c r="BW461" s="180"/>
      <c r="BX461" s="180"/>
      <c r="BY461" s="180"/>
      <c r="BZ461" s="180"/>
      <c r="CA461" s="180"/>
      <c r="CB461" s="180"/>
      <c r="CC461" s="180"/>
      <c r="CD461" s="180"/>
      <c r="CE461" s="180"/>
      <c r="CF461" s="180"/>
      <c r="CG461" s="180"/>
      <c r="CH461" s="180"/>
      <c r="CI461" s="180"/>
      <c r="CJ461" s="180"/>
      <c r="CK461" s="180"/>
      <c r="CL461" s="180"/>
      <c r="CM461" s="180"/>
      <c r="CN461" s="180"/>
      <c r="CO461" s="180"/>
      <c r="CP461" s="180"/>
      <c r="CQ461" s="180"/>
      <c r="CR461" s="180"/>
      <c r="CS461" s="180"/>
      <c r="CT461" s="180"/>
      <c r="CU461" s="180"/>
      <c r="CV461" s="180"/>
      <c r="CW461" s="180"/>
      <c r="CX461" s="180"/>
      <c r="CY461" s="180"/>
      <c r="CZ461" s="180"/>
    </row>
    <row r="462" spans="1:104" x14ac:dyDescent="0.45">
      <c r="A462" s="180" t="s">
        <v>3</v>
      </c>
      <c r="B462" s="73">
        <v>3</v>
      </c>
      <c r="C462" s="73"/>
      <c r="D462" s="180" t="s">
        <v>442</v>
      </c>
      <c r="E462" s="39">
        <v>43596</v>
      </c>
      <c r="F462" s="179">
        <v>0.5395833333333333</v>
      </c>
      <c r="G462" s="180">
        <v>1</v>
      </c>
      <c r="H462" s="180"/>
      <c r="I462" s="180"/>
      <c r="J462" s="180"/>
      <c r="K462" s="180"/>
      <c r="L462" s="180"/>
      <c r="M462" s="180"/>
      <c r="N462" s="180"/>
      <c r="O462" s="180"/>
      <c r="P462" s="180"/>
      <c r="AS462" s="180"/>
      <c r="AT462" s="180"/>
      <c r="AU462" s="180"/>
      <c r="AV462" s="180"/>
      <c r="AW462" s="180"/>
      <c r="AX462" s="180"/>
      <c r="AY462" s="180"/>
      <c r="AZ462" s="180"/>
      <c r="BA462" s="180"/>
      <c r="BB462" s="180"/>
      <c r="BC462" s="180"/>
      <c r="BD462" s="180"/>
      <c r="BE462" s="180"/>
      <c r="BF462" s="180"/>
      <c r="BG462" s="180"/>
      <c r="BH462" s="180"/>
      <c r="BI462" s="180"/>
      <c r="BJ462" s="180"/>
      <c r="BK462" s="180"/>
      <c r="BL462" s="180"/>
      <c r="BM462" s="180"/>
      <c r="BN462" s="180"/>
      <c r="BO462" s="180"/>
      <c r="BP462" s="180"/>
      <c r="BQ462" s="180"/>
      <c r="BR462" s="180"/>
      <c r="BS462" s="180"/>
      <c r="BT462" s="180"/>
      <c r="BU462" s="180"/>
      <c r="BV462" s="180"/>
      <c r="BW462" s="180"/>
      <c r="BX462" s="180"/>
      <c r="BY462" s="180"/>
      <c r="BZ462" s="180"/>
      <c r="CA462" s="180"/>
      <c r="CB462" s="180"/>
      <c r="CC462" s="180"/>
      <c r="CD462" s="180"/>
      <c r="CE462" s="180"/>
      <c r="CF462" s="180"/>
      <c r="CG462" s="180"/>
      <c r="CH462" s="180"/>
      <c r="CI462" s="180"/>
      <c r="CJ462" s="180"/>
      <c r="CK462" s="180"/>
      <c r="CL462" s="180"/>
      <c r="CM462" s="180"/>
      <c r="CN462" s="180"/>
      <c r="CO462" s="180"/>
      <c r="CP462" s="180"/>
      <c r="CQ462" s="180"/>
      <c r="CR462" s="180"/>
      <c r="CS462" s="180"/>
      <c r="CT462" s="180"/>
      <c r="CU462" s="180"/>
      <c r="CV462" s="180"/>
      <c r="CW462" s="180"/>
      <c r="CX462" s="180"/>
      <c r="CY462" s="180"/>
      <c r="CZ462" s="180"/>
    </row>
    <row r="463" spans="1:104" x14ac:dyDescent="0.45">
      <c r="A463" s="180" t="s">
        <v>3</v>
      </c>
      <c r="B463" s="73">
        <v>2</v>
      </c>
      <c r="C463" s="73"/>
      <c r="D463" s="180" t="s">
        <v>332</v>
      </c>
      <c r="E463" s="39">
        <v>43596</v>
      </c>
      <c r="F463" s="179">
        <v>0.64097222222222217</v>
      </c>
      <c r="G463" s="180">
        <v>22</v>
      </c>
      <c r="H463" s="180"/>
      <c r="I463" s="180"/>
      <c r="J463" s="180"/>
      <c r="K463" s="180"/>
      <c r="L463" s="180"/>
      <c r="M463" s="180"/>
      <c r="N463" s="180"/>
      <c r="O463" s="180"/>
      <c r="P463" s="180"/>
      <c r="AS463" s="180"/>
      <c r="AT463" s="180"/>
      <c r="AU463" s="180"/>
      <c r="AV463" s="180"/>
      <c r="AW463" s="180"/>
      <c r="AX463" s="180"/>
      <c r="AY463" s="180"/>
      <c r="AZ463" s="180"/>
      <c r="BA463" s="180"/>
      <c r="BB463" s="180"/>
      <c r="BC463" s="180"/>
      <c r="BD463" s="180"/>
      <c r="BE463" s="180"/>
      <c r="BF463" s="180"/>
      <c r="BG463" s="180"/>
      <c r="BH463" s="180"/>
      <c r="BI463" s="180"/>
      <c r="BJ463" s="180"/>
      <c r="BK463" s="180"/>
      <c r="BL463" s="180"/>
      <c r="BM463" s="180"/>
      <c r="BN463" s="180"/>
      <c r="BO463" s="180"/>
      <c r="BP463" s="180"/>
      <c r="BQ463" s="180"/>
      <c r="BR463" s="180"/>
      <c r="BS463" s="180"/>
      <c r="BT463" s="180"/>
      <c r="BU463" s="180"/>
      <c r="BV463" s="180"/>
      <c r="BW463" s="180"/>
      <c r="BX463" s="180"/>
      <c r="BY463" s="180"/>
      <c r="BZ463" s="180"/>
      <c r="CA463" s="180"/>
      <c r="CB463" s="180"/>
      <c r="CC463" s="180"/>
      <c r="CD463" s="180"/>
      <c r="CE463" s="180"/>
      <c r="CF463" s="180"/>
      <c r="CG463" s="180"/>
      <c r="CH463" s="180"/>
      <c r="CI463" s="180"/>
      <c r="CJ463" s="180"/>
      <c r="CK463" s="180"/>
      <c r="CL463" s="180"/>
      <c r="CM463" s="180"/>
      <c r="CN463" s="180"/>
      <c r="CO463" s="180"/>
      <c r="CP463" s="180"/>
      <c r="CQ463" s="180"/>
      <c r="CR463" s="180"/>
      <c r="CS463" s="180"/>
      <c r="CT463" s="180"/>
      <c r="CU463" s="180"/>
      <c r="CV463" s="180"/>
      <c r="CW463" s="180"/>
      <c r="CX463" s="180"/>
      <c r="CY463" s="180"/>
      <c r="CZ463" s="180"/>
    </row>
    <row r="464" spans="1:104" x14ac:dyDescent="0.45">
      <c r="A464" s="180" t="s">
        <v>3</v>
      </c>
      <c r="B464" s="73">
        <v>5</v>
      </c>
      <c r="C464" s="73">
        <v>5</v>
      </c>
      <c r="D464" s="180" t="s">
        <v>332</v>
      </c>
      <c r="E464" s="39">
        <v>43596</v>
      </c>
      <c r="F464" s="179">
        <v>0.32777777777777778</v>
      </c>
      <c r="G464" s="180">
        <v>4</v>
      </c>
      <c r="H464" s="180"/>
      <c r="I464" s="180"/>
      <c r="J464" s="180"/>
      <c r="K464" s="180"/>
      <c r="L464" s="180"/>
      <c r="M464" s="180"/>
      <c r="N464" s="180"/>
      <c r="O464" s="180"/>
      <c r="P464" s="180"/>
      <c r="AS464" s="180"/>
      <c r="AT464" s="180"/>
      <c r="AU464" s="180"/>
      <c r="AV464" s="180"/>
      <c r="AW464" s="180"/>
      <c r="AX464" s="180"/>
      <c r="AY464" s="180"/>
      <c r="AZ464" s="180"/>
      <c r="BA464" s="180"/>
      <c r="BB464" s="180"/>
      <c r="BC464" s="180"/>
      <c r="BD464" s="180"/>
      <c r="BE464" s="180"/>
      <c r="BF464" s="180"/>
      <c r="BG464" s="180"/>
      <c r="BH464" s="180"/>
      <c r="BI464" s="180"/>
      <c r="BJ464" s="180"/>
      <c r="BK464" s="180"/>
      <c r="BL464" s="180"/>
      <c r="BM464" s="180"/>
      <c r="BN464" s="180"/>
      <c r="BO464" s="180"/>
      <c r="BP464" s="180"/>
      <c r="BQ464" s="180"/>
      <c r="BR464" s="180"/>
      <c r="BS464" s="180"/>
      <c r="BT464" s="180"/>
      <c r="BU464" s="180"/>
      <c r="BV464" s="180"/>
      <c r="BW464" s="180"/>
      <c r="BX464" s="180"/>
      <c r="BY464" s="180"/>
      <c r="BZ464" s="180"/>
      <c r="CA464" s="180"/>
      <c r="CB464" s="180"/>
      <c r="CC464" s="180"/>
      <c r="CD464" s="180"/>
      <c r="CE464" s="180"/>
      <c r="CF464" s="180"/>
      <c r="CG464" s="180"/>
      <c r="CH464" s="180"/>
      <c r="CI464" s="180"/>
      <c r="CJ464" s="180"/>
      <c r="CK464" s="180"/>
      <c r="CL464" s="180"/>
      <c r="CM464" s="180"/>
      <c r="CN464" s="180"/>
      <c r="CO464" s="180"/>
      <c r="CP464" s="180"/>
      <c r="CQ464" s="180"/>
      <c r="CR464" s="180"/>
      <c r="CS464" s="180"/>
      <c r="CT464" s="180"/>
      <c r="CU464" s="180"/>
      <c r="CV464" s="180"/>
      <c r="CW464" s="180"/>
      <c r="CX464" s="180"/>
      <c r="CY464" s="180"/>
      <c r="CZ464" s="180"/>
    </row>
    <row r="465" spans="1:104" x14ac:dyDescent="0.45">
      <c r="A465" s="180" t="s">
        <v>3</v>
      </c>
      <c r="B465" s="73">
        <v>1</v>
      </c>
      <c r="C465" s="73"/>
      <c r="D465" s="180" t="s">
        <v>332</v>
      </c>
      <c r="E465" s="39">
        <v>43596</v>
      </c>
      <c r="F465" s="179">
        <v>0.64236111111111105</v>
      </c>
      <c r="G465" s="180">
        <v>15</v>
      </c>
      <c r="H465" s="180"/>
      <c r="I465" s="180"/>
      <c r="J465" s="180"/>
      <c r="K465" s="180"/>
      <c r="L465" s="180"/>
      <c r="M465" s="180"/>
      <c r="N465" s="180"/>
      <c r="O465" s="180"/>
      <c r="P465" s="180"/>
      <c r="AS465" s="180"/>
      <c r="AT465" s="180"/>
      <c r="AU465" s="180"/>
      <c r="AV465" s="180"/>
      <c r="AW465" s="180"/>
      <c r="AX465" s="180"/>
      <c r="AY465" s="180"/>
      <c r="AZ465" s="180"/>
      <c r="BA465" s="180"/>
      <c r="BB465" s="180"/>
      <c r="BC465" s="180"/>
      <c r="BD465" s="180"/>
      <c r="BE465" s="180"/>
      <c r="BF465" s="180"/>
      <c r="BG465" s="180"/>
      <c r="BH465" s="180"/>
      <c r="BI465" s="180"/>
      <c r="BJ465" s="180"/>
      <c r="BK465" s="180"/>
      <c r="BL465" s="180"/>
      <c r="BM465" s="180"/>
      <c r="BN465" s="180"/>
      <c r="BO465" s="180"/>
      <c r="BP465" s="180"/>
      <c r="BQ465" s="180"/>
      <c r="BR465" s="180"/>
      <c r="BS465" s="180"/>
      <c r="BT465" s="180"/>
      <c r="BU465" s="180"/>
      <c r="BV465" s="180"/>
      <c r="BW465" s="180"/>
      <c r="BX465" s="180"/>
      <c r="BY465" s="180"/>
      <c r="BZ465" s="180"/>
      <c r="CA465" s="180"/>
      <c r="CB465" s="180"/>
      <c r="CC465" s="180"/>
      <c r="CD465" s="180"/>
      <c r="CE465" s="180"/>
      <c r="CF465" s="180"/>
      <c r="CG465" s="180"/>
      <c r="CH465" s="180"/>
      <c r="CI465" s="180"/>
      <c r="CJ465" s="180"/>
      <c r="CK465" s="180"/>
      <c r="CL465" s="180"/>
      <c r="CM465" s="180"/>
      <c r="CN465" s="180"/>
      <c r="CO465" s="180"/>
      <c r="CP465" s="180"/>
      <c r="CQ465" s="180"/>
      <c r="CR465" s="180"/>
      <c r="CS465" s="180"/>
      <c r="CT465" s="180"/>
      <c r="CU465" s="180"/>
      <c r="CV465" s="180"/>
      <c r="CW465" s="180"/>
      <c r="CX465" s="180"/>
      <c r="CY465" s="180"/>
      <c r="CZ465" s="180"/>
    </row>
    <row r="466" spans="1:104" x14ac:dyDescent="0.45">
      <c r="A466" s="180" t="s">
        <v>3</v>
      </c>
      <c r="B466" s="73">
        <v>5</v>
      </c>
      <c r="C466" s="73"/>
      <c r="D466" s="180" t="s">
        <v>332</v>
      </c>
      <c r="E466" s="39">
        <v>43596</v>
      </c>
      <c r="F466" s="179">
        <v>0.32777777777777778</v>
      </c>
      <c r="G466" s="180">
        <v>4</v>
      </c>
      <c r="H466" s="180"/>
      <c r="I466" s="180"/>
      <c r="J466" s="180"/>
      <c r="K466" s="180"/>
      <c r="L466" s="180"/>
      <c r="M466" s="180"/>
      <c r="N466" s="180"/>
      <c r="O466" s="180"/>
      <c r="P466" s="180"/>
      <c r="AS466" s="180"/>
      <c r="AT466" s="180"/>
      <c r="AU466" s="180"/>
      <c r="AV466" s="180"/>
      <c r="AW466" s="180"/>
      <c r="AX466" s="180"/>
      <c r="AY466" s="180"/>
      <c r="AZ466" s="180"/>
      <c r="BA466" s="180"/>
      <c r="BB466" s="180"/>
      <c r="BC466" s="180"/>
      <c r="BD466" s="180"/>
      <c r="BE466" s="180"/>
      <c r="BF466" s="180"/>
      <c r="BG466" s="180"/>
      <c r="BH466" s="180"/>
      <c r="BI466" s="180"/>
      <c r="BJ466" s="180"/>
      <c r="BK466" s="180"/>
      <c r="BL466" s="180"/>
      <c r="BM466" s="180"/>
      <c r="BN466" s="180"/>
      <c r="BO466" s="180"/>
      <c r="BP466" s="180"/>
      <c r="BQ466" s="180"/>
      <c r="BR466" s="180"/>
      <c r="BS466" s="180"/>
      <c r="BT466" s="180"/>
      <c r="BU466" s="180"/>
      <c r="BV466" s="180"/>
      <c r="BW466" s="180"/>
      <c r="BX466" s="180"/>
      <c r="BY466" s="180"/>
      <c r="BZ466" s="180"/>
      <c r="CA466" s="180"/>
      <c r="CB466" s="180"/>
      <c r="CC466" s="180"/>
      <c r="CD466" s="180"/>
      <c r="CE466" s="180"/>
      <c r="CF466" s="180"/>
      <c r="CG466" s="180"/>
      <c r="CH466" s="180"/>
      <c r="CI466" s="180"/>
      <c r="CJ466" s="180"/>
      <c r="CK466" s="180"/>
      <c r="CL466" s="180"/>
      <c r="CM466" s="180"/>
      <c r="CN466" s="180"/>
      <c r="CO466" s="180"/>
      <c r="CP466" s="180"/>
      <c r="CQ466" s="180"/>
      <c r="CR466" s="180"/>
      <c r="CS466" s="180"/>
      <c r="CT466" s="180"/>
      <c r="CU466" s="180"/>
      <c r="CV466" s="180"/>
      <c r="CW466" s="180"/>
      <c r="CX466" s="180"/>
      <c r="CY466" s="180"/>
      <c r="CZ466" s="180"/>
    </row>
    <row r="467" spans="1:104" x14ac:dyDescent="0.45">
      <c r="A467" s="180" t="s">
        <v>3</v>
      </c>
      <c r="B467" s="73">
        <v>1</v>
      </c>
      <c r="C467" s="73">
        <v>1</v>
      </c>
      <c r="D467" s="180" t="s">
        <v>309</v>
      </c>
      <c r="E467" s="39">
        <v>43596</v>
      </c>
      <c r="F467" s="179">
        <v>0.29444444444444445</v>
      </c>
      <c r="G467" s="180">
        <v>1</v>
      </c>
      <c r="H467" s="180" t="s">
        <v>362</v>
      </c>
      <c r="I467" s="180"/>
      <c r="J467" s="180"/>
      <c r="K467" s="180"/>
      <c r="L467" s="180"/>
      <c r="M467" s="180"/>
      <c r="N467" s="180"/>
      <c r="O467" s="180"/>
      <c r="P467" s="180"/>
      <c r="AS467" s="180"/>
      <c r="AT467" s="180"/>
      <c r="AU467" s="180"/>
      <c r="AV467" s="180"/>
      <c r="AW467" s="180"/>
      <c r="AX467" s="180"/>
      <c r="AY467" s="180"/>
      <c r="AZ467" s="180"/>
      <c r="BA467" s="180"/>
      <c r="BB467" s="180"/>
      <c r="BC467" s="180"/>
      <c r="BD467" s="180"/>
      <c r="BE467" s="180"/>
      <c r="BF467" s="180"/>
      <c r="BG467" s="180"/>
      <c r="BH467" s="180"/>
      <c r="BI467" s="180"/>
      <c r="BJ467" s="180"/>
      <c r="BK467" s="180"/>
      <c r="BL467" s="180"/>
      <c r="BM467" s="180"/>
      <c r="BN467" s="180"/>
      <c r="BO467" s="180"/>
      <c r="BP467" s="180"/>
      <c r="BQ467" s="180"/>
      <c r="BR467" s="180"/>
      <c r="BS467" s="180"/>
      <c r="BT467" s="180"/>
      <c r="BU467" s="180"/>
      <c r="BV467" s="180"/>
      <c r="BW467" s="180"/>
      <c r="BX467" s="180"/>
      <c r="BY467" s="180"/>
      <c r="BZ467" s="180"/>
      <c r="CA467" s="180"/>
      <c r="CB467" s="180"/>
      <c r="CC467" s="180"/>
      <c r="CD467" s="180"/>
      <c r="CE467" s="180"/>
      <c r="CF467" s="180"/>
      <c r="CG467" s="180"/>
      <c r="CH467" s="180"/>
      <c r="CI467" s="180"/>
      <c r="CJ467" s="180"/>
      <c r="CK467" s="180"/>
      <c r="CL467" s="180"/>
      <c r="CM467" s="180"/>
      <c r="CN467" s="180"/>
      <c r="CO467" s="180"/>
      <c r="CP467" s="180"/>
      <c r="CQ467" s="180"/>
      <c r="CR467" s="180"/>
      <c r="CS467" s="180"/>
      <c r="CT467" s="180"/>
      <c r="CU467" s="180"/>
      <c r="CV467" s="180"/>
      <c r="CW467" s="180"/>
      <c r="CX467" s="180"/>
      <c r="CY467" s="180"/>
      <c r="CZ467" s="180"/>
    </row>
    <row r="468" spans="1:104" x14ac:dyDescent="0.45">
      <c r="A468" s="180" t="s">
        <v>3</v>
      </c>
      <c r="B468" s="73">
        <v>1</v>
      </c>
      <c r="C468" s="73"/>
      <c r="D468" s="180" t="s">
        <v>309</v>
      </c>
      <c r="E468" s="39">
        <v>43596</v>
      </c>
      <c r="F468" s="179">
        <v>0.29166666666666669</v>
      </c>
      <c r="G468" s="180">
        <v>10</v>
      </c>
      <c r="H468" s="180" t="s">
        <v>443</v>
      </c>
      <c r="I468" s="180"/>
      <c r="J468" s="180"/>
      <c r="K468" s="180"/>
      <c r="L468" s="180"/>
      <c r="M468" s="180"/>
      <c r="N468" s="180"/>
      <c r="O468" s="180"/>
      <c r="P468" s="180"/>
      <c r="AS468" s="180"/>
      <c r="AT468" s="180"/>
      <c r="AU468" s="180"/>
      <c r="AV468" s="180"/>
      <c r="AW468" s="180"/>
      <c r="AX468" s="180"/>
      <c r="AY468" s="180"/>
      <c r="AZ468" s="180"/>
      <c r="BA468" s="180"/>
      <c r="BB468" s="180"/>
      <c r="BC468" s="180"/>
      <c r="BD468" s="180"/>
      <c r="BE468" s="180"/>
      <c r="BF468" s="180"/>
      <c r="BG468" s="180"/>
      <c r="BH468" s="180"/>
      <c r="BI468" s="180"/>
      <c r="BJ468" s="180"/>
      <c r="BK468" s="180"/>
      <c r="BL468" s="180"/>
      <c r="BM468" s="180"/>
      <c r="BN468" s="180"/>
      <c r="BO468" s="180"/>
      <c r="BP468" s="180"/>
      <c r="BQ468" s="180"/>
      <c r="BR468" s="180"/>
      <c r="BS468" s="180"/>
      <c r="BT468" s="180"/>
      <c r="BU468" s="180"/>
      <c r="BV468" s="180"/>
      <c r="BW468" s="180"/>
      <c r="BX468" s="180"/>
      <c r="BY468" s="180"/>
      <c r="BZ468" s="180"/>
      <c r="CA468" s="180"/>
      <c r="CB468" s="180"/>
      <c r="CC468" s="180"/>
      <c r="CD468" s="180"/>
      <c r="CE468" s="180"/>
      <c r="CF468" s="180"/>
      <c r="CG468" s="180"/>
      <c r="CH468" s="180"/>
      <c r="CI468" s="180"/>
      <c r="CJ468" s="180"/>
      <c r="CK468" s="180"/>
      <c r="CL468" s="180"/>
      <c r="CM468" s="180"/>
      <c r="CN468" s="180"/>
      <c r="CO468" s="180"/>
      <c r="CP468" s="180"/>
      <c r="CQ468" s="180"/>
      <c r="CR468" s="180"/>
      <c r="CS468" s="180"/>
      <c r="CT468" s="180"/>
      <c r="CU468" s="180"/>
      <c r="CV468" s="180"/>
      <c r="CW468" s="180"/>
      <c r="CX468" s="180"/>
      <c r="CY468" s="180"/>
      <c r="CZ468" s="180"/>
    </row>
    <row r="469" spans="1:104" x14ac:dyDescent="0.45">
      <c r="A469" s="180" t="s">
        <v>3</v>
      </c>
      <c r="B469" s="73">
        <v>2</v>
      </c>
      <c r="C469" s="73"/>
      <c r="D469" s="180" t="s">
        <v>324</v>
      </c>
      <c r="E469" s="39">
        <v>43596</v>
      </c>
      <c r="F469" s="179">
        <v>0.28333333333333333</v>
      </c>
      <c r="G469" s="180">
        <v>2</v>
      </c>
      <c r="H469" s="180"/>
      <c r="I469" s="180"/>
      <c r="J469" s="180"/>
      <c r="K469" s="180"/>
      <c r="L469" s="180"/>
      <c r="M469" s="180"/>
      <c r="N469" s="180"/>
      <c r="O469" s="180"/>
      <c r="P469" s="180"/>
      <c r="AS469" s="180"/>
      <c r="AT469" s="180"/>
      <c r="AU469" s="180"/>
      <c r="AV469" s="180"/>
      <c r="AW469" s="180"/>
      <c r="AX469" s="180"/>
      <c r="AY469" s="180"/>
      <c r="AZ469" s="180"/>
      <c r="BA469" s="180"/>
      <c r="BB469" s="180"/>
      <c r="BC469" s="180"/>
      <c r="BD469" s="180"/>
      <c r="BE469" s="180"/>
      <c r="BF469" s="180"/>
      <c r="BG469" s="180"/>
      <c r="BH469" s="180"/>
      <c r="BI469" s="180"/>
      <c r="BJ469" s="180"/>
      <c r="BK469" s="180"/>
      <c r="BL469" s="180"/>
      <c r="BM469" s="180"/>
      <c r="BN469" s="180"/>
      <c r="BO469" s="180"/>
      <c r="BP469" s="180"/>
      <c r="BQ469" s="180"/>
      <c r="BR469" s="180"/>
      <c r="BS469" s="180"/>
      <c r="BT469" s="180"/>
      <c r="BU469" s="180"/>
      <c r="BV469" s="180"/>
      <c r="BW469" s="180"/>
      <c r="BX469" s="180"/>
      <c r="BY469" s="180"/>
      <c r="BZ469" s="180"/>
      <c r="CA469" s="180"/>
      <c r="CB469" s="180"/>
      <c r="CC469" s="180"/>
      <c r="CD469" s="180"/>
      <c r="CE469" s="180"/>
      <c r="CF469" s="180"/>
      <c r="CG469" s="180"/>
      <c r="CH469" s="180"/>
      <c r="CI469" s="180"/>
      <c r="CJ469" s="180"/>
      <c r="CK469" s="180"/>
      <c r="CL469" s="180"/>
      <c r="CM469" s="180"/>
      <c r="CN469" s="180"/>
      <c r="CO469" s="180"/>
      <c r="CP469" s="180"/>
      <c r="CQ469" s="180"/>
      <c r="CR469" s="180"/>
      <c r="CS469" s="180"/>
      <c r="CT469" s="180"/>
      <c r="CU469" s="180"/>
      <c r="CV469" s="180"/>
      <c r="CW469" s="180"/>
      <c r="CX469" s="180"/>
      <c r="CY469" s="180"/>
      <c r="CZ469" s="180"/>
    </row>
    <row r="470" spans="1:104" x14ac:dyDescent="0.45">
      <c r="A470" s="180" t="s">
        <v>3</v>
      </c>
      <c r="B470" s="73">
        <v>1</v>
      </c>
      <c r="C470" s="73"/>
      <c r="D470" s="180" t="s">
        <v>376</v>
      </c>
      <c r="E470" s="39">
        <v>43596</v>
      </c>
      <c r="F470" s="179">
        <v>0.36388888888888887</v>
      </c>
      <c r="G470" s="180">
        <v>2</v>
      </c>
      <c r="H470" s="180"/>
      <c r="I470" s="180"/>
      <c r="J470" s="180"/>
      <c r="K470" s="180"/>
      <c r="L470" s="180"/>
      <c r="M470" s="180"/>
      <c r="N470" s="180"/>
      <c r="O470" s="180"/>
      <c r="P470" s="180"/>
      <c r="AS470" s="180"/>
      <c r="AT470" s="180"/>
      <c r="AU470" s="180"/>
      <c r="AV470" s="180"/>
      <c r="AW470" s="180"/>
      <c r="AX470" s="180"/>
      <c r="AY470" s="180"/>
      <c r="AZ470" s="180"/>
      <c r="BA470" s="180"/>
      <c r="BB470" s="180"/>
      <c r="BC470" s="180"/>
      <c r="BD470" s="180"/>
      <c r="BE470" s="180"/>
      <c r="BF470" s="180"/>
      <c r="BG470" s="180"/>
      <c r="BH470" s="180"/>
      <c r="BI470" s="180"/>
      <c r="BJ470" s="180"/>
      <c r="BK470" s="180"/>
      <c r="BL470" s="180"/>
      <c r="BM470" s="180"/>
      <c r="BN470" s="180"/>
      <c r="BO470" s="180"/>
      <c r="BP470" s="180"/>
      <c r="BQ470" s="180"/>
      <c r="BR470" s="180"/>
      <c r="BS470" s="180"/>
      <c r="BT470" s="180"/>
      <c r="BU470" s="180"/>
      <c r="BV470" s="180"/>
      <c r="BW470" s="180"/>
      <c r="BX470" s="180"/>
      <c r="BY470" s="180"/>
      <c r="BZ470" s="180"/>
      <c r="CA470" s="180"/>
      <c r="CB470" s="180"/>
      <c r="CC470" s="180"/>
      <c r="CD470" s="180"/>
      <c r="CE470" s="180"/>
      <c r="CF470" s="180"/>
      <c r="CG470" s="180"/>
      <c r="CH470" s="180"/>
      <c r="CI470" s="180"/>
      <c r="CJ470" s="180"/>
      <c r="CK470" s="180"/>
      <c r="CL470" s="180"/>
      <c r="CM470" s="180"/>
      <c r="CN470" s="180"/>
      <c r="CO470" s="180"/>
      <c r="CP470" s="180"/>
      <c r="CQ470" s="180"/>
      <c r="CR470" s="180"/>
      <c r="CS470" s="180"/>
      <c r="CT470" s="180"/>
      <c r="CU470" s="180"/>
      <c r="CV470" s="180"/>
      <c r="CW470" s="180"/>
      <c r="CX470" s="180"/>
      <c r="CY470" s="180"/>
      <c r="CZ470" s="180"/>
    </row>
    <row r="471" spans="1:104" x14ac:dyDescent="0.45">
      <c r="A471" s="180" t="s">
        <v>3</v>
      </c>
      <c r="B471" s="73">
        <v>1</v>
      </c>
      <c r="C471" s="73"/>
      <c r="D471" s="180" t="s">
        <v>425</v>
      </c>
      <c r="E471" s="39">
        <v>43596</v>
      </c>
      <c r="F471" s="179">
        <v>0.36944444444444446</v>
      </c>
      <c r="G471" s="180">
        <v>1</v>
      </c>
      <c r="H471" s="180"/>
      <c r="I471" s="180"/>
      <c r="J471" s="180"/>
      <c r="K471" s="180"/>
      <c r="L471" s="180"/>
      <c r="M471" s="180"/>
      <c r="N471" s="180"/>
      <c r="O471" s="180"/>
      <c r="P471" s="180"/>
      <c r="AS471" s="180"/>
      <c r="AT471" s="180"/>
      <c r="AU471" s="180"/>
      <c r="AV471" s="180"/>
      <c r="AW471" s="180"/>
      <c r="AX471" s="180"/>
      <c r="AY471" s="180"/>
      <c r="AZ471" s="180"/>
      <c r="BA471" s="180"/>
      <c r="BB471" s="180"/>
      <c r="BC471" s="180"/>
      <c r="BD471" s="180"/>
      <c r="BE471" s="180"/>
      <c r="BF471" s="180"/>
      <c r="BG471" s="180"/>
      <c r="BH471" s="180"/>
      <c r="BI471" s="180"/>
      <c r="BJ471" s="180"/>
      <c r="BK471" s="180"/>
      <c r="BL471" s="180"/>
      <c r="BM471" s="180"/>
      <c r="BN471" s="180"/>
      <c r="BO471" s="180"/>
      <c r="BP471" s="180"/>
      <c r="BQ471" s="180"/>
      <c r="BR471" s="180"/>
      <c r="BS471" s="180"/>
      <c r="BT471" s="180"/>
      <c r="BU471" s="180"/>
      <c r="BV471" s="180"/>
      <c r="BW471" s="180"/>
      <c r="BX471" s="180"/>
      <c r="BY471" s="180"/>
      <c r="BZ471" s="180"/>
      <c r="CA471" s="180"/>
      <c r="CB471" s="180"/>
      <c r="CC471" s="180"/>
      <c r="CD471" s="180"/>
      <c r="CE471" s="180"/>
      <c r="CF471" s="180"/>
      <c r="CG471" s="180"/>
      <c r="CH471" s="180"/>
      <c r="CI471" s="180"/>
      <c r="CJ471" s="180"/>
      <c r="CK471" s="180"/>
      <c r="CL471" s="180"/>
      <c r="CM471" s="180"/>
      <c r="CN471" s="180"/>
      <c r="CO471" s="180"/>
      <c r="CP471" s="180"/>
      <c r="CQ471" s="180"/>
      <c r="CR471" s="180"/>
      <c r="CS471" s="180"/>
      <c r="CT471" s="180"/>
      <c r="CU471" s="180"/>
      <c r="CV471" s="180"/>
      <c r="CW471" s="180"/>
      <c r="CX471" s="180"/>
      <c r="CY471" s="180"/>
      <c r="CZ471" s="180"/>
    </row>
    <row r="472" spans="1:104" x14ac:dyDescent="0.45">
      <c r="A472" s="180" t="s">
        <v>3</v>
      </c>
      <c r="B472" s="73">
        <v>1</v>
      </c>
      <c r="C472" s="73"/>
      <c r="D472" s="180" t="s">
        <v>296</v>
      </c>
      <c r="E472" s="39">
        <v>43596</v>
      </c>
      <c r="F472" s="179">
        <v>0.68472222222222223</v>
      </c>
      <c r="G472" s="180">
        <v>2</v>
      </c>
      <c r="H472" s="180"/>
      <c r="I472" s="180"/>
      <c r="J472" s="180"/>
      <c r="K472" s="180"/>
      <c r="L472" s="180"/>
      <c r="M472" s="180"/>
      <c r="N472" s="180"/>
      <c r="O472" s="180"/>
      <c r="P472" s="180"/>
      <c r="AS472" s="180"/>
      <c r="AT472" s="180"/>
      <c r="AU472" s="180"/>
      <c r="AV472" s="180"/>
      <c r="AW472" s="180"/>
      <c r="AX472" s="180"/>
      <c r="AY472" s="180"/>
      <c r="AZ472" s="180"/>
      <c r="BA472" s="180"/>
      <c r="BB472" s="180"/>
      <c r="BC472" s="180"/>
      <c r="BD472" s="180"/>
      <c r="BE472" s="180"/>
      <c r="BF472" s="180"/>
      <c r="BG472" s="180"/>
      <c r="BH472" s="180"/>
      <c r="BI472" s="180"/>
      <c r="BJ472" s="180"/>
      <c r="BK472" s="180"/>
      <c r="BL472" s="180"/>
      <c r="BM472" s="180"/>
      <c r="BN472" s="180"/>
      <c r="BO472" s="180"/>
      <c r="BP472" s="180"/>
      <c r="BQ472" s="180"/>
      <c r="BR472" s="180"/>
      <c r="BS472" s="180"/>
      <c r="BT472" s="180"/>
      <c r="BU472" s="180"/>
      <c r="BV472" s="180"/>
      <c r="BW472" s="180"/>
      <c r="BX472" s="180"/>
      <c r="BY472" s="180"/>
      <c r="BZ472" s="180"/>
      <c r="CA472" s="180"/>
      <c r="CB472" s="180"/>
      <c r="CC472" s="180"/>
      <c r="CD472" s="180"/>
      <c r="CE472" s="180"/>
      <c r="CF472" s="180"/>
      <c r="CG472" s="180"/>
      <c r="CH472" s="180"/>
      <c r="CI472" s="180"/>
      <c r="CJ472" s="180"/>
      <c r="CK472" s="180"/>
      <c r="CL472" s="180"/>
      <c r="CM472" s="180"/>
      <c r="CN472" s="180"/>
      <c r="CO472" s="180"/>
      <c r="CP472" s="180"/>
      <c r="CQ472" s="180"/>
      <c r="CR472" s="180"/>
      <c r="CS472" s="180"/>
      <c r="CT472" s="180"/>
      <c r="CU472" s="180"/>
      <c r="CV472" s="180"/>
      <c r="CW472" s="180"/>
      <c r="CX472" s="180"/>
      <c r="CY472" s="180"/>
      <c r="CZ472" s="180"/>
    </row>
    <row r="473" spans="1:104" x14ac:dyDescent="0.45">
      <c r="A473" s="180" t="s">
        <v>3</v>
      </c>
      <c r="B473" s="73">
        <v>1</v>
      </c>
      <c r="C473" s="73"/>
      <c r="D473" s="180" t="s">
        <v>296</v>
      </c>
      <c r="E473" s="39">
        <v>43596</v>
      </c>
      <c r="F473" s="179">
        <v>0.52083333333333337</v>
      </c>
      <c r="G473" s="180">
        <v>4</v>
      </c>
      <c r="H473" s="180" t="s">
        <v>444</v>
      </c>
      <c r="I473" s="180"/>
      <c r="J473" s="180"/>
      <c r="K473" s="180"/>
      <c r="L473" s="180"/>
      <c r="M473" s="180"/>
      <c r="N473" s="180"/>
      <c r="O473" s="180"/>
      <c r="P473" s="180"/>
      <c r="AS473" s="180"/>
      <c r="AT473" s="180"/>
      <c r="AU473" s="180"/>
      <c r="AV473" s="180"/>
      <c r="AW473" s="180"/>
      <c r="AX473" s="180"/>
      <c r="AY473" s="180"/>
      <c r="AZ473" s="180"/>
      <c r="BA473" s="180"/>
      <c r="BB473" s="180"/>
      <c r="BC473" s="180"/>
      <c r="BD473" s="180"/>
      <c r="BE473" s="180"/>
      <c r="BF473" s="180"/>
      <c r="BG473" s="180"/>
      <c r="BH473" s="180"/>
      <c r="BI473" s="180"/>
      <c r="BJ473" s="180"/>
      <c r="BK473" s="180"/>
      <c r="BL473" s="180"/>
      <c r="BM473" s="180"/>
      <c r="BN473" s="180"/>
      <c r="BO473" s="180"/>
      <c r="BP473" s="180"/>
      <c r="BQ473" s="180"/>
      <c r="BR473" s="180"/>
      <c r="BS473" s="180"/>
      <c r="BT473" s="180"/>
      <c r="BU473" s="180"/>
      <c r="BV473" s="180"/>
      <c r="BW473" s="180"/>
      <c r="BX473" s="180"/>
      <c r="BY473" s="180"/>
      <c r="BZ473" s="180"/>
      <c r="CA473" s="180"/>
      <c r="CB473" s="180"/>
      <c r="CC473" s="180"/>
      <c r="CD473" s="180"/>
      <c r="CE473" s="180"/>
      <c r="CF473" s="180"/>
      <c r="CG473" s="180"/>
      <c r="CH473" s="180"/>
      <c r="CI473" s="180"/>
      <c r="CJ473" s="180"/>
      <c r="CK473" s="180"/>
      <c r="CL473" s="180"/>
      <c r="CM473" s="180"/>
      <c r="CN473" s="180"/>
      <c r="CO473" s="180"/>
      <c r="CP473" s="180"/>
      <c r="CQ473" s="180"/>
      <c r="CR473" s="180"/>
      <c r="CS473" s="180"/>
      <c r="CT473" s="180"/>
      <c r="CU473" s="180"/>
      <c r="CV473" s="180"/>
      <c r="CW473" s="180"/>
      <c r="CX473" s="180"/>
      <c r="CY473" s="180"/>
      <c r="CZ473" s="180"/>
    </row>
    <row r="474" spans="1:104" x14ac:dyDescent="0.45">
      <c r="A474" s="180" t="s">
        <v>3</v>
      </c>
      <c r="B474" s="73">
        <v>1</v>
      </c>
      <c r="C474" s="73"/>
      <c r="D474" s="180" t="s">
        <v>296</v>
      </c>
      <c r="E474" s="39">
        <v>43596</v>
      </c>
      <c r="F474" s="179">
        <v>0.68472222222222223</v>
      </c>
      <c r="G474" s="180">
        <v>2</v>
      </c>
      <c r="H474" s="180"/>
      <c r="I474" s="180"/>
      <c r="J474" s="180"/>
      <c r="K474" s="180"/>
      <c r="L474" s="180"/>
      <c r="M474" s="180"/>
      <c r="N474" s="180"/>
      <c r="O474" s="180"/>
      <c r="P474" s="180"/>
      <c r="AS474" s="180"/>
      <c r="AT474" s="180"/>
      <c r="AU474" s="180"/>
      <c r="AV474" s="180"/>
      <c r="AW474" s="180"/>
      <c r="AX474" s="180"/>
      <c r="AY474" s="180"/>
      <c r="AZ474" s="180"/>
      <c r="BA474" s="180"/>
      <c r="BB474" s="180"/>
      <c r="BC474" s="180"/>
      <c r="BD474" s="180"/>
      <c r="BE474" s="180"/>
      <c r="BF474" s="180"/>
      <c r="BG474" s="180"/>
      <c r="BH474" s="180"/>
      <c r="BI474" s="180"/>
      <c r="BJ474" s="180"/>
      <c r="BK474" s="180"/>
      <c r="BL474" s="180"/>
      <c r="BM474" s="180"/>
      <c r="BN474" s="180"/>
      <c r="BO474" s="180"/>
      <c r="BP474" s="180"/>
      <c r="BQ474" s="180"/>
      <c r="BR474" s="180"/>
      <c r="BS474" s="180"/>
      <c r="BT474" s="180"/>
      <c r="BU474" s="180"/>
      <c r="BV474" s="180"/>
      <c r="BW474" s="180"/>
      <c r="BX474" s="180"/>
      <c r="BY474" s="180"/>
      <c r="BZ474" s="180"/>
      <c r="CA474" s="180"/>
      <c r="CB474" s="180"/>
      <c r="CC474" s="180"/>
      <c r="CD474" s="180"/>
      <c r="CE474" s="180"/>
      <c r="CF474" s="180"/>
      <c r="CG474" s="180"/>
      <c r="CH474" s="180"/>
      <c r="CI474" s="180"/>
      <c r="CJ474" s="180"/>
      <c r="CK474" s="180"/>
      <c r="CL474" s="180"/>
      <c r="CM474" s="180"/>
      <c r="CN474" s="180"/>
      <c r="CO474" s="180"/>
      <c r="CP474" s="180"/>
      <c r="CQ474" s="180"/>
      <c r="CR474" s="180"/>
      <c r="CS474" s="180"/>
      <c r="CT474" s="180"/>
      <c r="CU474" s="180"/>
      <c r="CV474" s="180"/>
      <c r="CW474" s="180"/>
      <c r="CX474" s="180"/>
      <c r="CY474" s="180"/>
      <c r="CZ474" s="180"/>
    </row>
    <row r="475" spans="1:104" x14ac:dyDescent="0.45">
      <c r="A475" s="180" t="s">
        <v>3</v>
      </c>
      <c r="B475" s="73">
        <v>1</v>
      </c>
      <c r="C475" s="73"/>
      <c r="D475" s="180" t="s">
        <v>296</v>
      </c>
      <c r="E475" s="39">
        <v>43596</v>
      </c>
      <c r="F475" s="179">
        <v>0.65416666666666667</v>
      </c>
      <c r="G475" s="180">
        <v>1</v>
      </c>
      <c r="H475" s="180"/>
      <c r="I475" s="180"/>
      <c r="J475" s="180"/>
      <c r="K475" s="180"/>
      <c r="L475" s="180"/>
      <c r="M475" s="180"/>
      <c r="N475" s="180"/>
      <c r="O475" s="180"/>
      <c r="P475" s="180"/>
      <c r="AS475" s="180"/>
      <c r="AT475" s="180"/>
      <c r="AU475" s="180"/>
      <c r="AV475" s="180"/>
      <c r="AW475" s="180"/>
      <c r="AX475" s="180"/>
      <c r="AY475" s="180"/>
      <c r="AZ475" s="180"/>
      <c r="BA475" s="180"/>
      <c r="BB475" s="180"/>
      <c r="BC475" s="180"/>
      <c r="BD475" s="180"/>
      <c r="BE475" s="180"/>
      <c r="BF475" s="180"/>
      <c r="BG475" s="180"/>
      <c r="BH475" s="180"/>
      <c r="BI475" s="180"/>
      <c r="BJ475" s="180"/>
      <c r="BK475" s="180"/>
      <c r="BL475" s="180"/>
      <c r="BM475" s="180"/>
      <c r="BN475" s="180"/>
      <c r="BO475" s="180"/>
      <c r="BP475" s="180"/>
      <c r="BQ475" s="180"/>
      <c r="BR475" s="180"/>
      <c r="BS475" s="180"/>
      <c r="BT475" s="180"/>
      <c r="BU475" s="180"/>
      <c r="BV475" s="180"/>
      <c r="BW475" s="180"/>
      <c r="BX475" s="180"/>
      <c r="BY475" s="180"/>
      <c r="BZ475" s="180"/>
      <c r="CA475" s="180"/>
      <c r="CB475" s="180"/>
      <c r="CC475" s="180"/>
      <c r="CD475" s="180"/>
      <c r="CE475" s="180"/>
      <c r="CF475" s="180"/>
      <c r="CG475" s="180"/>
      <c r="CH475" s="180"/>
      <c r="CI475" s="180"/>
      <c r="CJ475" s="180"/>
      <c r="CK475" s="180"/>
      <c r="CL475" s="180"/>
      <c r="CM475" s="180"/>
      <c r="CN475" s="180"/>
      <c r="CO475" s="180"/>
      <c r="CP475" s="180"/>
      <c r="CQ475" s="180"/>
      <c r="CR475" s="180"/>
      <c r="CS475" s="180"/>
      <c r="CT475" s="180"/>
      <c r="CU475" s="180"/>
      <c r="CV475" s="180"/>
      <c r="CW475" s="180"/>
      <c r="CX475" s="180"/>
      <c r="CY475" s="180"/>
      <c r="CZ475" s="180"/>
    </row>
    <row r="476" spans="1:104" x14ac:dyDescent="0.45">
      <c r="A476" s="180" t="s">
        <v>3</v>
      </c>
      <c r="B476" s="73">
        <v>2</v>
      </c>
      <c r="C476" s="73">
        <v>2</v>
      </c>
      <c r="D476" s="180" t="s">
        <v>296</v>
      </c>
      <c r="E476" s="39">
        <v>43596</v>
      </c>
      <c r="F476" s="179">
        <v>0.27083333333333331</v>
      </c>
      <c r="G476" s="180">
        <v>1</v>
      </c>
      <c r="H476" s="180"/>
      <c r="I476" s="180"/>
      <c r="J476" s="180"/>
      <c r="K476" s="180"/>
      <c r="L476" s="180"/>
      <c r="M476" s="180"/>
      <c r="N476" s="180"/>
      <c r="O476" s="180"/>
      <c r="P476" s="180"/>
      <c r="AS476" s="180"/>
      <c r="AT476" s="180"/>
      <c r="AU476" s="180"/>
      <c r="AV476" s="180"/>
      <c r="AW476" s="180"/>
      <c r="AX476" s="180"/>
      <c r="AY476" s="180"/>
      <c r="AZ476" s="180"/>
      <c r="BA476" s="180"/>
      <c r="BB476" s="180"/>
      <c r="BC476" s="180"/>
      <c r="BD476" s="180"/>
      <c r="BE476" s="180"/>
      <c r="BF476" s="180"/>
      <c r="BG476" s="180"/>
      <c r="BH476" s="180"/>
      <c r="BI476" s="180"/>
      <c r="BJ476" s="180"/>
      <c r="BK476" s="180"/>
      <c r="BL476" s="180"/>
      <c r="BM476" s="180"/>
      <c r="BN476" s="180"/>
      <c r="BO476" s="180"/>
      <c r="BP476" s="180"/>
      <c r="BQ476" s="180"/>
      <c r="BR476" s="180"/>
      <c r="BS476" s="180"/>
      <c r="BT476" s="180"/>
      <c r="BU476" s="180"/>
      <c r="BV476" s="180"/>
      <c r="BW476" s="180"/>
      <c r="BX476" s="180"/>
      <c r="BY476" s="180"/>
      <c r="BZ476" s="180"/>
      <c r="CA476" s="180"/>
      <c r="CB476" s="180"/>
      <c r="CC476" s="180"/>
      <c r="CD476" s="180"/>
      <c r="CE476" s="180"/>
      <c r="CF476" s="180"/>
      <c r="CG476" s="180"/>
      <c r="CH476" s="180"/>
      <c r="CI476" s="180"/>
      <c r="CJ476" s="180"/>
      <c r="CK476" s="180"/>
      <c r="CL476" s="180"/>
      <c r="CM476" s="180"/>
      <c r="CN476" s="180"/>
      <c r="CO476" s="180"/>
      <c r="CP476" s="180"/>
      <c r="CQ476" s="180"/>
      <c r="CR476" s="180"/>
      <c r="CS476" s="180"/>
      <c r="CT476" s="180"/>
      <c r="CU476" s="180"/>
      <c r="CV476" s="180"/>
      <c r="CW476" s="180"/>
      <c r="CX476" s="180"/>
      <c r="CY476" s="180"/>
      <c r="CZ476" s="180"/>
    </row>
    <row r="477" spans="1:104" x14ac:dyDescent="0.45">
      <c r="A477" s="180" t="s">
        <v>3</v>
      </c>
      <c r="B477" s="73">
        <v>3</v>
      </c>
      <c r="C477" s="73"/>
      <c r="D477" s="180" t="s">
        <v>271</v>
      </c>
      <c r="E477" s="39">
        <v>43596</v>
      </c>
      <c r="F477" s="179">
        <v>0.33333333333333331</v>
      </c>
      <c r="G477" s="180">
        <v>10</v>
      </c>
      <c r="H477" s="180" t="s">
        <v>325</v>
      </c>
      <c r="I477" s="180"/>
      <c r="J477" s="180"/>
      <c r="K477" s="180"/>
      <c r="L477" s="180"/>
      <c r="M477" s="180"/>
      <c r="N477" s="180"/>
      <c r="O477" s="180"/>
      <c r="P477" s="180"/>
      <c r="AS477" s="180"/>
      <c r="AT477" s="180"/>
      <c r="AU477" s="180"/>
      <c r="AV477" s="180"/>
      <c r="AW477" s="180"/>
      <c r="AX477" s="180"/>
      <c r="AY477" s="180"/>
      <c r="AZ477" s="180"/>
      <c r="BA477" s="180"/>
      <c r="BB477" s="180"/>
      <c r="BC477" s="180"/>
      <c r="BD477" s="180"/>
      <c r="BE477" s="180"/>
      <c r="BF477" s="180"/>
      <c r="BG477" s="180"/>
      <c r="BH477" s="180"/>
      <c r="BI477" s="180"/>
      <c r="BJ477" s="180"/>
      <c r="BK477" s="180"/>
      <c r="BL477" s="180"/>
      <c r="BM477" s="180"/>
      <c r="BN477" s="180"/>
      <c r="BO477" s="180"/>
      <c r="BP477" s="180"/>
      <c r="BQ477" s="180"/>
      <c r="BR477" s="180"/>
      <c r="BS477" s="180"/>
      <c r="BT477" s="180"/>
      <c r="BU477" s="180"/>
      <c r="BV477" s="180"/>
      <c r="BW477" s="180"/>
      <c r="BX477" s="180"/>
      <c r="BY477" s="180"/>
      <c r="BZ477" s="180"/>
      <c r="CA477" s="180"/>
      <c r="CB477" s="180"/>
      <c r="CC477" s="180"/>
      <c r="CD477" s="180"/>
      <c r="CE477" s="180"/>
      <c r="CF477" s="180"/>
      <c r="CG477" s="180"/>
      <c r="CH477" s="180"/>
      <c r="CI477" s="180"/>
      <c r="CJ477" s="180"/>
      <c r="CK477" s="180"/>
      <c r="CL477" s="180"/>
      <c r="CM477" s="180"/>
      <c r="CN477" s="180"/>
      <c r="CO477" s="180"/>
      <c r="CP477" s="180"/>
      <c r="CQ477" s="180"/>
      <c r="CR477" s="180"/>
      <c r="CS477" s="180"/>
      <c r="CT477" s="180"/>
      <c r="CU477" s="180"/>
      <c r="CV477" s="180"/>
      <c r="CW477" s="180"/>
      <c r="CX477" s="180"/>
      <c r="CY477" s="180"/>
      <c r="CZ477" s="180"/>
    </row>
    <row r="478" spans="1:104" x14ac:dyDescent="0.45">
      <c r="A478" s="180" t="s">
        <v>3</v>
      </c>
      <c r="B478" s="73">
        <v>1</v>
      </c>
      <c r="C478" s="73"/>
      <c r="D478" s="180" t="s">
        <v>271</v>
      </c>
      <c r="E478" s="39">
        <v>43596</v>
      </c>
      <c r="F478" s="179">
        <v>0.53611111111111109</v>
      </c>
      <c r="G478" s="180">
        <v>2</v>
      </c>
      <c r="H478" s="180"/>
      <c r="I478" s="180"/>
      <c r="J478" s="180"/>
      <c r="K478" s="180"/>
      <c r="L478" s="180"/>
      <c r="M478" s="180"/>
      <c r="N478" s="180"/>
      <c r="O478" s="180"/>
      <c r="P478" s="180"/>
      <c r="AS478" s="180"/>
      <c r="AT478" s="180"/>
      <c r="AU478" s="180"/>
      <c r="AV478" s="180"/>
      <c r="AW478" s="180"/>
      <c r="AX478" s="180"/>
      <c r="AY478" s="180"/>
      <c r="AZ478" s="180"/>
      <c r="BA478" s="180"/>
      <c r="BB478" s="180"/>
      <c r="BC478" s="180"/>
      <c r="BD478" s="180"/>
      <c r="BE478" s="180"/>
      <c r="BF478" s="180"/>
      <c r="BG478" s="180"/>
      <c r="BH478" s="180"/>
      <c r="BI478" s="180"/>
      <c r="BJ478" s="180"/>
      <c r="BK478" s="180"/>
      <c r="BL478" s="180"/>
      <c r="BM478" s="180"/>
      <c r="BN478" s="180"/>
      <c r="BO478" s="180"/>
      <c r="BP478" s="180"/>
      <c r="BQ478" s="180"/>
      <c r="BR478" s="180"/>
      <c r="BS478" s="180"/>
      <c r="BT478" s="180"/>
      <c r="BU478" s="180"/>
      <c r="BV478" s="180"/>
      <c r="BW478" s="180"/>
      <c r="BX478" s="180"/>
      <c r="BY478" s="180"/>
      <c r="BZ478" s="180"/>
      <c r="CA478" s="180"/>
      <c r="CB478" s="180"/>
      <c r="CC478" s="180"/>
      <c r="CD478" s="180"/>
      <c r="CE478" s="180"/>
      <c r="CF478" s="180"/>
      <c r="CG478" s="180"/>
      <c r="CH478" s="180"/>
      <c r="CI478" s="180"/>
      <c r="CJ478" s="180"/>
      <c r="CK478" s="180"/>
      <c r="CL478" s="180"/>
      <c r="CM478" s="180"/>
      <c r="CN478" s="180"/>
      <c r="CO478" s="180"/>
      <c r="CP478" s="180"/>
      <c r="CQ478" s="180"/>
      <c r="CR478" s="180"/>
      <c r="CS478" s="180"/>
      <c r="CT478" s="180"/>
      <c r="CU478" s="180"/>
      <c r="CV478" s="180"/>
      <c r="CW478" s="180"/>
      <c r="CX478" s="180"/>
      <c r="CY478" s="180"/>
      <c r="CZ478" s="180"/>
    </row>
    <row r="479" spans="1:104" x14ac:dyDescent="0.45">
      <c r="A479" s="180" t="s">
        <v>3</v>
      </c>
      <c r="B479" s="73">
        <v>1</v>
      </c>
      <c r="C479" s="73"/>
      <c r="D479" s="180" t="s">
        <v>271</v>
      </c>
      <c r="E479" s="39">
        <v>43596</v>
      </c>
      <c r="F479" s="179">
        <v>0.47916666666666669</v>
      </c>
      <c r="G479" s="180">
        <v>4</v>
      </c>
      <c r="H479" s="180" t="s">
        <v>393</v>
      </c>
      <c r="I479" s="180"/>
      <c r="J479" s="180"/>
      <c r="K479" s="180"/>
      <c r="L479" s="180"/>
      <c r="M479" s="180"/>
      <c r="N479" s="180"/>
      <c r="O479" s="180"/>
      <c r="P479" s="180"/>
      <c r="AS479" s="180"/>
      <c r="AT479" s="180"/>
      <c r="AU479" s="180"/>
      <c r="AV479" s="180"/>
      <c r="AW479" s="180"/>
      <c r="AX479" s="180"/>
      <c r="AY479" s="180"/>
      <c r="AZ479" s="180"/>
      <c r="BA479" s="180"/>
      <c r="BB479" s="180"/>
      <c r="BC479" s="180"/>
      <c r="BD479" s="180"/>
      <c r="BE479" s="180"/>
      <c r="BF479" s="180"/>
      <c r="BG479" s="180"/>
      <c r="BH479" s="180"/>
      <c r="BI479" s="180"/>
      <c r="BJ479" s="180"/>
      <c r="BK479" s="180"/>
      <c r="BL479" s="180"/>
      <c r="BM479" s="180"/>
      <c r="BN479" s="180"/>
      <c r="BO479" s="180"/>
      <c r="BP479" s="180"/>
      <c r="BQ479" s="180"/>
      <c r="BR479" s="180"/>
      <c r="BS479" s="180"/>
      <c r="BT479" s="180"/>
      <c r="BU479" s="180"/>
      <c r="BV479" s="180"/>
      <c r="BW479" s="180"/>
      <c r="BX479" s="180"/>
      <c r="BY479" s="180"/>
      <c r="BZ479" s="180"/>
      <c r="CA479" s="180"/>
      <c r="CB479" s="180"/>
      <c r="CC479" s="180"/>
      <c r="CD479" s="180"/>
      <c r="CE479" s="180"/>
      <c r="CF479" s="180"/>
      <c r="CG479" s="180"/>
      <c r="CH479" s="180"/>
      <c r="CI479" s="180"/>
      <c r="CJ479" s="180"/>
      <c r="CK479" s="180"/>
      <c r="CL479" s="180"/>
      <c r="CM479" s="180"/>
      <c r="CN479" s="180"/>
      <c r="CO479" s="180"/>
      <c r="CP479" s="180"/>
      <c r="CQ479" s="180"/>
      <c r="CR479" s="180"/>
      <c r="CS479" s="180"/>
      <c r="CT479" s="180"/>
      <c r="CU479" s="180"/>
      <c r="CV479" s="180"/>
      <c r="CW479" s="180"/>
      <c r="CX479" s="180"/>
      <c r="CY479" s="180"/>
      <c r="CZ479" s="180"/>
    </row>
    <row r="480" spans="1:104" x14ac:dyDescent="0.45">
      <c r="A480" s="180" t="s">
        <v>3</v>
      </c>
      <c r="B480" s="73">
        <v>2</v>
      </c>
      <c r="C480" s="73"/>
      <c r="D480" s="180" t="s">
        <v>271</v>
      </c>
      <c r="E480" s="39">
        <v>43596</v>
      </c>
      <c r="F480" s="179">
        <v>0.66666666666666663</v>
      </c>
      <c r="G480" s="180">
        <v>7</v>
      </c>
      <c r="H480" s="180" t="s">
        <v>392</v>
      </c>
      <c r="I480" s="180"/>
      <c r="J480" s="180"/>
      <c r="K480" s="180"/>
      <c r="L480" s="180"/>
      <c r="M480" s="180"/>
      <c r="N480" s="180"/>
      <c r="O480" s="180"/>
      <c r="P480" s="180"/>
      <c r="AS480" s="180"/>
      <c r="AT480" s="180"/>
      <c r="AU480" s="180"/>
      <c r="AV480" s="180"/>
      <c r="AW480" s="180"/>
      <c r="AX480" s="180"/>
      <c r="AY480" s="180"/>
      <c r="AZ480" s="180"/>
      <c r="BA480" s="180"/>
      <c r="BB480" s="180"/>
      <c r="BC480" s="180"/>
      <c r="BD480" s="180"/>
      <c r="BE480" s="180"/>
      <c r="BF480" s="180"/>
      <c r="BG480" s="180"/>
      <c r="BH480" s="180"/>
      <c r="BI480" s="180"/>
      <c r="BJ480" s="180"/>
      <c r="BK480" s="180"/>
      <c r="BL480" s="180"/>
      <c r="BM480" s="180"/>
      <c r="BN480" s="180"/>
      <c r="BO480" s="180"/>
      <c r="BP480" s="180"/>
      <c r="BQ480" s="180"/>
      <c r="BR480" s="180"/>
      <c r="BS480" s="180"/>
      <c r="BT480" s="180"/>
      <c r="BU480" s="180"/>
      <c r="BV480" s="180"/>
      <c r="BW480" s="180"/>
      <c r="BX480" s="180"/>
      <c r="BY480" s="180"/>
      <c r="BZ480" s="180"/>
      <c r="CA480" s="180"/>
      <c r="CB480" s="180"/>
      <c r="CC480" s="180"/>
      <c r="CD480" s="180"/>
      <c r="CE480" s="180"/>
      <c r="CF480" s="180"/>
      <c r="CG480" s="180"/>
      <c r="CH480" s="180"/>
      <c r="CI480" s="180"/>
      <c r="CJ480" s="180"/>
      <c r="CK480" s="180"/>
      <c r="CL480" s="180"/>
      <c r="CM480" s="180"/>
      <c r="CN480" s="180"/>
      <c r="CO480" s="180"/>
      <c r="CP480" s="180"/>
      <c r="CQ480" s="180"/>
      <c r="CR480" s="180"/>
      <c r="CS480" s="180"/>
      <c r="CT480" s="180"/>
      <c r="CU480" s="180"/>
      <c r="CV480" s="180"/>
      <c r="CW480" s="180"/>
      <c r="CX480" s="180"/>
      <c r="CY480" s="180"/>
      <c r="CZ480" s="180"/>
    </row>
    <row r="481" spans="1:104" x14ac:dyDescent="0.45">
      <c r="A481" s="180" t="s">
        <v>3</v>
      </c>
      <c r="B481" s="73">
        <v>1</v>
      </c>
      <c r="C481" s="73"/>
      <c r="D481" s="180" t="s">
        <v>271</v>
      </c>
      <c r="E481" s="39">
        <v>43596</v>
      </c>
      <c r="F481" s="179">
        <v>0.4861111111111111</v>
      </c>
      <c r="G481" s="180">
        <v>1</v>
      </c>
      <c r="H481" s="180" t="s">
        <v>390</v>
      </c>
      <c r="I481" s="180" t="s">
        <v>445</v>
      </c>
      <c r="J481" s="180"/>
      <c r="K481" s="180"/>
      <c r="L481" s="180"/>
      <c r="M481" s="180"/>
      <c r="N481" s="180"/>
      <c r="O481" s="180"/>
      <c r="P481" s="180"/>
      <c r="AS481" s="180"/>
      <c r="AT481" s="180"/>
      <c r="AU481" s="180"/>
      <c r="AV481" s="180"/>
      <c r="AW481" s="180"/>
      <c r="AX481" s="180"/>
      <c r="AY481" s="180"/>
      <c r="AZ481" s="180"/>
      <c r="BA481" s="180"/>
      <c r="BB481" s="180"/>
      <c r="BC481" s="180"/>
      <c r="BD481" s="180"/>
      <c r="BE481" s="180"/>
      <c r="BF481" s="180"/>
      <c r="BG481" s="180"/>
      <c r="BH481" s="180"/>
      <c r="BI481" s="180"/>
      <c r="BJ481" s="180"/>
      <c r="BK481" s="180"/>
      <c r="BL481" s="180"/>
      <c r="BM481" s="180"/>
      <c r="BN481" s="180"/>
      <c r="BO481" s="180"/>
      <c r="BP481" s="180"/>
      <c r="BQ481" s="180"/>
      <c r="BR481" s="180"/>
      <c r="BS481" s="180"/>
      <c r="BT481" s="180"/>
      <c r="BU481" s="180"/>
      <c r="BV481" s="180"/>
      <c r="BW481" s="180"/>
      <c r="BX481" s="180"/>
      <c r="BY481" s="180"/>
      <c r="BZ481" s="180"/>
      <c r="CA481" s="180"/>
      <c r="CB481" s="180"/>
      <c r="CC481" s="180"/>
      <c r="CD481" s="180"/>
      <c r="CE481" s="180"/>
      <c r="CF481" s="180"/>
      <c r="CG481" s="180"/>
      <c r="CH481" s="180"/>
      <c r="CI481" s="180"/>
      <c r="CJ481" s="180"/>
      <c r="CK481" s="180"/>
      <c r="CL481" s="180"/>
      <c r="CM481" s="180"/>
      <c r="CN481" s="180"/>
      <c r="CO481" s="180"/>
      <c r="CP481" s="180"/>
      <c r="CQ481" s="180"/>
      <c r="CR481" s="180"/>
      <c r="CS481" s="180"/>
      <c r="CT481" s="180"/>
      <c r="CU481" s="180"/>
      <c r="CV481" s="180"/>
      <c r="CW481" s="180"/>
      <c r="CX481" s="180"/>
      <c r="CY481" s="180"/>
      <c r="CZ481" s="180"/>
    </row>
    <row r="482" spans="1:104" x14ac:dyDescent="0.45">
      <c r="A482" s="180" t="s">
        <v>3</v>
      </c>
      <c r="B482" s="73">
        <v>1</v>
      </c>
      <c r="C482" s="73"/>
      <c r="D482" s="180" t="s">
        <v>271</v>
      </c>
      <c r="E482" s="39">
        <v>43596</v>
      </c>
      <c r="F482" s="179">
        <v>0.33333333333333331</v>
      </c>
      <c r="G482" s="180">
        <v>6</v>
      </c>
      <c r="H482" s="180" t="s">
        <v>327</v>
      </c>
      <c r="I482" s="180" t="s">
        <v>445</v>
      </c>
      <c r="J482" s="180"/>
      <c r="K482" s="180"/>
      <c r="L482" s="180"/>
      <c r="M482" s="180"/>
      <c r="N482" s="180"/>
      <c r="O482" s="180"/>
      <c r="P482" s="180"/>
      <c r="AS482" s="180"/>
      <c r="AT482" s="180"/>
      <c r="AU482" s="180"/>
      <c r="AV482" s="180"/>
      <c r="AW482" s="180"/>
      <c r="AX482" s="180"/>
      <c r="AY482" s="180"/>
      <c r="AZ482" s="180"/>
      <c r="BA482" s="180"/>
      <c r="BB482" s="180"/>
      <c r="BC482" s="180"/>
      <c r="BD482" s="180"/>
      <c r="BE482" s="180"/>
      <c r="BF482" s="180"/>
      <c r="BG482" s="180"/>
      <c r="BH482" s="180"/>
      <c r="BI482" s="180"/>
      <c r="BJ482" s="180"/>
      <c r="BK482" s="180"/>
      <c r="BL482" s="180"/>
      <c r="BM482" s="180"/>
      <c r="BN482" s="180"/>
      <c r="BO482" s="180"/>
      <c r="BP482" s="180"/>
      <c r="BQ482" s="180"/>
      <c r="BR482" s="180"/>
      <c r="BS482" s="180"/>
      <c r="BT482" s="180"/>
      <c r="BU482" s="180"/>
      <c r="BV482" s="180"/>
      <c r="BW482" s="180"/>
      <c r="BX482" s="180"/>
      <c r="BY482" s="180"/>
      <c r="BZ482" s="180"/>
      <c r="CA482" s="180"/>
      <c r="CB482" s="180"/>
      <c r="CC482" s="180"/>
      <c r="CD482" s="180"/>
      <c r="CE482" s="180"/>
      <c r="CF482" s="180"/>
      <c r="CG482" s="180"/>
      <c r="CH482" s="180"/>
      <c r="CI482" s="180"/>
      <c r="CJ482" s="180"/>
      <c r="CK482" s="180"/>
      <c r="CL482" s="180"/>
      <c r="CM482" s="180"/>
      <c r="CN482" s="180"/>
      <c r="CO482" s="180"/>
      <c r="CP482" s="180"/>
      <c r="CQ482" s="180"/>
      <c r="CR482" s="180"/>
      <c r="CS482" s="180"/>
      <c r="CT482" s="180"/>
      <c r="CU482" s="180"/>
      <c r="CV482" s="180"/>
      <c r="CW482" s="180"/>
      <c r="CX482" s="180"/>
      <c r="CY482" s="180"/>
      <c r="CZ482" s="180"/>
    </row>
    <row r="483" spans="1:104" x14ac:dyDescent="0.45">
      <c r="A483" s="180" t="s">
        <v>3</v>
      </c>
      <c r="B483" s="73">
        <v>2</v>
      </c>
      <c r="C483" s="73"/>
      <c r="D483" s="180" t="s">
        <v>271</v>
      </c>
      <c r="E483" s="39">
        <v>43596</v>
      </c>
      <c r="F483" s="179">
        <v>0.5756944444444444</v>
      </c>
      <c r="G483" s="180">
        <v>2</v>
      </c>
      <c r="H483" s="180"/>
      <c r="I483" s="180"/>
      <c r="J483" s="180"/>
      <c r="K483" s="180"/>
      <c r="L483" s="180"/>
      <c r="M483" s="180"/>
      <c r="N483" s="180"/>
      <c r="O483" s="180"/>
      <c r="P483" s="180"/>
      <c r="AS483" s="180"/>
      <c r="AT483" s="180"/>
      <c r="AU483" s="180"/>
      <c r="AV483" s="180"/>
      <c r="AW483" s="180"/>
      <c r="AX483" s="180"/>
      <c r="AY483" s="180"/>
      <c r="AZ483" s="180"/>
      <c r="BA483" s="180"/>
      <c r="BB483" s="180"/>
      <c r="BC483" s="180"/>
      <c r="BD483" s="180"/>
      <c r="BE483" s="180"/>
      <c r="BF483" s="180"/>
      <c r="BG483" s="180"/>
      <c r="BH483" s="180"/>
      <c r="BI483" s="180"/>
      <c r="BJ483" s="180"/>
      <c r="BK483" s="180"/>
      <c r="BL483" s="180"/>
      <c r="BM483" s="180"/>
      <c r="BN483" s="180"/>
      <c r="BO483" s="180"/>
      <c r="BP483" s="180"/>
      <c r="BQ483" s="180"/>
      <c r="BR483" s="180"/>
      <c r="BS483" s="180"/>
      <c r="BT483" s="180"/>
      <c r="BU483" s="180"/>
      <c r="BV483" s="180"/>
      <c r="BW483" s="180"/>
      <c r="BX483" s="180"/>
      <c r="BY483" s="180"/>
      <c r="BZ483" s="180"/>
      <c r="CA483" s="180"/>
      <c r="CB483" s="180"/>
      <c r="CC483" s="180"/>
      <c r="CD483" s="180"/>
      <c r="CE483" s="180"/>
      <c r="CF483" s="180"/>
      <c r="CG483" s="180"/>
      <c r="CH483" s="180"/>
      <c r="CI483" s="180"/>
      <c r="CJ483" s="180"/>
      <c r="CK483" s="180"/>
      <c r="CL483" s="180"/>
      <c r="CM483" s="180"/>
      <c r="CN483" s="180"/>
      <c r="CO483" s="180"/>
      <c r="CP483" s="180"/>
      <c r="CQ483" s="180"/>
      <c r="CR483" s="180"/>
      <c r="CS483" s="180"/>
      <c r="CT483" s="180"/>
      <c r="CU483" s="180"/>
      <c r="CV483" s="180"/>
      <c r="CW483" s="180"/>
      <c r="CX483" s="180"/>
      <c r="CY483" s="180"/>
      <c r="CZ483" s="180"/>
    </row>
    <row r="484" spans="1:104" x14ac:dyDescent="0.45">
      <c r="A484" s="180" t="s">
        <v>3</v>
      </c>
      <c r="B484" s="73">
        <v>2</v>
      </c>
      <c r="C484" s="73"/>
      <c r="D484" s="180" t="s">
        <v>271</v>
      </c>
      <c r="E484" s="39">
        <v>43596</v>
      </c>
      <c r="F484" s="179">
        <v>0.5756944444444444</v>
      </c>
      <c r="G484" s="180">
        <v>2</v>
      </c>
      <c r="H484" s="180"/>
      <c r="I484" s="180" t="s">
        <v>446</v>
      </c>
      <c r="J484" s="180"/>
      <c r="K484" s="180"/>
      <c r="L484" s="180"/>
      <c r="M484" s="180"/>
      <c r="N484" s="180"/>
      <c r="O484" s="180"/>
      <c r="P484" s="180"/>
      <c r="AS484" s="180"/>
      <c r="AT484" s="180"/>
      <c r="AU484" s="180"/>
      <c r="AV484" s="180"/>
      <c r="AW484" s="180"/>
      <c r="AX484" s="180"/>
      <c r="AY484" s="180"/>
      <c r="AZ484" s="180"/>
      <c r="BA484" s="180"/>
      <c r="BB484" s="180"/>
      <c r="BC484" s="180"/>
      <c r="BD484" s="180"/>
      <c r="BE484" s="180"/>
      <c r="BF484" s="180"/>
      <c r="BG484" s="180"/>
      <c r="BH484" s="180"/>
      <c r="BI484" s="180"/>
      <c r="BJ484" s="180"/>
      <c r="BK484" s="180"/>
      <c r="BL484" s="180"/>
      <c r="BM484" s="180"/>
      <c r="BN484" s="180"/>
      <c r="BO484" s="180"/>
      <c r="BP484" s="180"/>
      <c r="BQ484" s="180"/>
      <c r="BR484" s="180"/>
      <c r="BS484" s="180"/>
      <c r="BT484" s="180"/>
      <c r="BU484" s="180"/>
      <c r="BV484" s="180"/>
      <c r="BW484" s="180"/>
      <c r="BX484" s="180"/>
      <c r="BY484" s="180"/>
      <c r="BZ484" s="180"/>
      <c r="CA484" s="180"/>
      <c r="CB484" s="180"/>
      <c r="CC484" s="180"/>
      <c r="CD484" s="180"/>
      <c r="CE484" s="180"/>
      <c r="CF484" s="180"/>
      <c r="CG484" s="180"/>
      <c r="CH484" s="180"/>
      <c r="CI484" s="180"/>
      <c r="CJ484" s="180"/>
      <c r="CK484" s="180"/>
      <c r="CL484" s="180"/>
      <c r="CM484" s="180"/>
      <c r="CN484" s="180"/>
      <c r="CO484" s="180"/>
      <c r="CP484" s="180"/>
      <c r="CQ484" s="180"/>
      <c r="CR484" s="180"/>
      <c r="CS484" s="180"/>
      <c r="CT484" s="180"/>
      <c r="CU484" s="180"/>
      <c r="CV484" s="180"/>
      <c r="CW484" s="180"/>
      <c r="CX484" s="180"/>
      <c r="CY484" s="180"/>
      <c r="CZ484" s="180"/>
    </row>
    <row r="485" spans="1:104" x14ac:dyDescent="0.45">
      <c r="A485" s="180" t="s">
        <v>3</v>
      </c>
      <c r="B485" s="73">
        <v>4</v>
      </c>
      <c r="C485" s="73">
        <v>4</v>
      </c>
      <c r="D485" s="180" t="s">
        <v>271</v>
      </c>
      <c r="E485" s="39">
        <v>43596</v>
      </c>
      <c r="F485" s="179">
        <v>0.59791666666666665</v>
      </c>
      <c r="G485" s="180">
        <v>1</v>
      </c>
      <c r="H485" s="180"/>
      <c r="I485" s="180" t="s">
        <v>446</v>
      </c>
      <c r="J485" s="180"/>
      <c r="K485" s="180"/>
      <c r="L485" s="180"/>
      <c r="M485" s="180"/>
      <c r="N485" s="180"/>
      <c r="O485" s="180"/>
      <c r="P485" s="180"/>
      <c r="AS485" s="180"/>
      <c r="AT485" s="180"/>
      <c r="AU485" s="180"/>
      <c r="AV485" s="180"/>
      <c r="AW485" s="180"/>
      <c r="AX485" s="180"/>
      <c r="AY485" s="180"/>
      <c r="AZ485" s="180"/>
      <c r="BA485" s="180"/>
      <c r="BB485" s="180"/>
      <c r="BC485" s="180"/>
      <c r="BD485" s="180"/>
      <c r="BE485" s="180"/>
      <c r="BF485" s="180"/>
      <c r="BG485" s="180"/>
      <c r="BH485" s="180"/>
      <c r="BI485" s="180"/>
      <c r="BJ485" s="180"/>
      <c r="BK485" s="180"/>
      <c r="BL485" s="180"/>
      <c r="BM485" s="180"/>
      <c r="BN485" s="180"/>
      <c r="BO485" s="180"/>
      <c r="BP485" s="180"/>
      <c r="BQ485" s="180"/>
      <c r="BR485" s="180"/>
      <c r="BS485" s="180"/>
      <c r="BT485" s="180"/>
      <c r="BU485" s="180"/>
      <c r="BV485" s="180"/>
      <c r="BW485" s="180"/>
      <c r="BX485" s="180"/>
      <c r="BY485" s="180"/>
      <c r="BZ485" s="180"/>
      <c r="CA485" s="180"/>
      <c r="CB485" s="180"/>
      <c r="CC485" s="180"/>
      <c r="CD485" s="180"/>
      <c r="CE485" s="180"/>
      <c r="CF485" s="180"/>
      <c r="CG485" s="180"/>
      <c r="CH485" s="180"/>
      <c r="CI485" s="180"/>
      <c r="CJ485" s="180"/>
      <c r="CK485" s="180"/>
      <c r="CL485" s="180"/>
      <c r="CM485" s="180"/>
      <c r="CN485" s="180"/>
      <c r="CO485" s="180"/>
      <c r="CP485" s="180"/>
      <c r="CQ485" s="180"/>
      <c r="CR485" s="180"/>
      <c r="CS485" s="180"/>
      <c r="CT485" s="180"/>
      <c r="CU485" s="180"/>
      <c r="CV485" s="180"/>
      <c r="CW485" s="180"/>
      <c r="CX485" s="180"/>
      <c r="CY485" s="180"/>
      <c r="CZ485" s="180"/>
    </row>
    <row r="486" spans="1:104" x14ac:dyDescent="0.45">
      <c r="A486" s="180" t="s">
        <v>3</v>
      </c>
      <c r="B486" s="73">
        <v>1</v>
      </c>
      <c r="C486" s="73"/>
      <c r="D486" s="180" t="s">
        <v>271</v>
      </c>
      <c r="E486" s="39">
        <v>43596</v>
      </c>
      <c r="F486" s="179">
        <v>0.625</v>
      </c>
      <c r="G486" s="180">
        <v>1</v>
      </c>
      <c r="H486" s="180"/>
      <c r="I486" s="180"/>
      <c r="J486" s="180"/>
      <c r="K486" s="180"/>
      <c r="L486" s="180"/>
      <c r="M486" s="180"/>
      <c r="N486" s="180"/>
      <c r="O486" s="180"/>
      <c r="P486" s="180"/>
      <c r="AS486" s="180"/>
      <c r="AT486" s="180"/>
      <c r="AU486" s="180"/>
      <c r="AV486" s="180"/>
      <c r="AW486" s="180"/>
      <c r="AX486" s="180"/>
      <c r="AY486" s="180"/>
      <c r="AZ486" s="180"/>
      <c r="BA486" s="180"/>
      <c r="BB486" s="180"/>
      <c r="BC486" s="180"/>
      <c r="BD486" s="180"/>
      <c r="BE486" s="180"/>
      <c r="BF486" s="180"/>
      <c r="BG486" s="180"/>
      <c r="BH486" s="180"/>
      <c r="BI486" s="180"/>
      <c r="BJ486" s="180"/>
      <c r="BK486" s="180"/>
      <c r="BL486" s="180"/>
      <c r="BM486" s="180"/>
      <c r="BN486" s="180"/>
      <c r="BO486" s="180"/>
      <c r="BP486" s="180"/>
      <c r="BQ486" s="180"/>
      <c r="BR486" s="180"/>
      <c r="BS486" s="180"/>
      <c r="BT486" s="180"/>
      <c r="BU486" s="180"/>
      <c r="BV486" s="180"/>
      <c r="BW486" s="180"/>
      <c r="BX486" s="180"/>
      <c r="BY486" s="180"/>
      <c r="BZ486" s="180"/>
      <c r="CA486" s="180"/>
      <c r="CB486" s="180"/>
      <c r="CC486" s="180"/>
      <c r="CD486" s="180"/>
      <c r="CE486" s="180"/>
      <c r="CF486" s="180"/>
      <c r="CG486" s="180"/>
      <c r="CH486" s="180"/>
      <c r="CI486" s="180"/>
      <c r="CJ486" s="180"/>
      <c r="CK486" s="180"/>
      <c r="CL486" s="180"/>
      <c r="CM486" s="180"/>
      <c r="CN486" s="180"/>
      <c r="CO486" s="180"/>
      <c r="CP486" s="180"/>
      <c r="CQ486" s="180"/>
      <c r="CR486" s="180"/>
      <c r="CS486" s="180"/>
      <c r="CT486" s="180"/>
      <c r="CU486" s="180"/>
      <c r="CV486" s="180"/>
      <c r="CW486" s="180"/>
      <c r="CX486" s="180"/>
      <c r="CY486" s="180"/>
      <c r="CZ486" s="180"/>
    </row>
    <row r="487" spans="1:104" x14ac:dyDescent="0.45">
      <c r="A487" s="180" t="s">
        <v>3</v>
      </c>
      <c r="B487" s="73">
        <v>1</v>
      </c>
      <c r="C487" s="73"/>
      <c r="D487" s="180" t="s">
        <v>271</v>
      </c>
      <c r="E487" s="39">
        <v>43596</v>
      </c>
      <c r="F487" s="179">
        <v>0.33194444444444443</v>
      </c>
      <c r="G487" s="180">
        <v>2</v>
      </c>
      <c r="H487" s="180"/>
      <c r="I487" s="180"/>
      <c r="J487" s="180"/>
      <c r="K487" s="180"/>
      <c r="L487" s="180"/>
      <c r="M487" s="180"/>
      <c r="N487" s="180"/>
      <c r="O487" s="180"/>
      <c r="P487" s="180"/>
      <c r="AS487" s="180"/>
      <c r="AT487" s="180"/>
      <c r="AU487" s="180"/>
      <c r="AV487" s="180"/>
      <c r="AW487" s="180"/>
      <c r="AX487" s="180"/>
      <c r="AY487" s="180"/>
      <c r="AZ487" s="180"/>
      <c r="BA487" s="180"/>
      <c r="BB487" s="180"/>
      <c r="BC487" s="180"/>
      <c r="BD487" s="180"/>
      <c r="BE487" s="180"/>
      <c r="BF487" s="180"/>
      <c r="BG487" s="180"/>
      <c r="BH487" s="180"/>
      <c r="BI487" s="180"/>
      <c r="BJ487" s="180"/>
      <c r="BK487" s="180"/>
      <c r="BL487" s="180"/>
      <c r="BM487" s="180"/>
      <c r="BN487" s="180"/>
      <c r="BO487" s="180"/>
      <c r="BP487" s="180"/>
      <c r="BQ487" s="180"/>
      <c r="BR487" s="180"/>
      <c r="BS487" s="180"/>
      <c r="BT487" s="180"/>
      <c r="BU487" s="180"/>
      <c r="BV487" s="180"/>
      <c r="BW487" s="180"/>
      <c r="BX487" s="180"/>
      <c r="BY487" s="180"/>
      <c r="BZ487" s="180"/>
      <c r="CA487" s="180"/>
      <c r="CB487" s="180"/>
      <c r="CC487" s="180"/>
      <c r="CD487" s="180"/>
      <c r="CE487" s="180"/>
      <c r="CF487" s="180"/>
      <c r="CG487" s="180"/>
      <c r="CH487" s="180"/>
      <c r="CI487" s="180"/>
      <c r="CJ487" s="180"/>
      <c r="CK487" s="180"/>
      <c r="CL487" s="180"/>
      <c r="CM487" s="180"/>
      <c r="CN487" s="180"/>
      <c r="CO487" s="180"/>
      <c r="CP487" s="180"/>
      <c r="CQ487" s="180"/>
      <c r="CR487" s="180"/>
      <c r="CS487" s="180"/>
      <c r="CT487" s="180"/>
      <c r="CU487" s="180"/>
      <c r="CV487" s="180"/>
      <c r="CW487" s="180"/>
      <c r="CX487" s="180"/>
      <c r="CY487" s="180"/>
      <c r="CZ487" s="180"/>
    </row>
    <row r="488" spans="1:104" x14ac:dyDescent="0.45">
      <c r="A488" s="180" t="s">
        <v>3</v>
      </c>
      <c r="B488" s="73">
        <v>1</v>
      </c>
      <c r="C488" s="73"/>
      <c r="D488" s="180" t="s">
        <v>271</v>
      </c>
      <c r="E488" s="39">
        <v>43596</v>
      </c>
      <c r="F488" s="179">
        <v>0.57222222222222219</v>
      </c>
      <c r="G488" s="180">
        <v>2</v>
      </c>
      <c r="H488" s="180"/>
      <c r="I488" s="180"/>
      <c r="J488" s="180"/>
      <c r="K488" s="180"/>
      <c r="L488" s="180"/>
      <c r="M488" s="180"/>
      <c r="N488" s="180"/>
      <c r="O488" s="180"/>
      <c r="P488" s="180"/>
      <c r="AS488" s="180"/>
      <c r="AT488" s="180"/>
      <c r="AU488" s="180"/>
      <c r="AV488" s="180"/>
      <c r="AW488" s="180"/>
      <c r="AX488" s="180"/>
      <c r="AY488" s="180"/>
      <c r="AZ488" s="180"/>
      <c r="BA488" s="180"/>
      <c r="BB488" s="180"/>
      <c r="BC488" s="180"/>
      <c r="BD488" s="180"/>
      <c r="BE488" s="180"/>
      <c r="BF488" s="180"/>
      <c r="BG488" s="180"/>
      <c r="BH488" s="180"/>
      <c r="BI488" s="180"/>
      <c r="BJ488" s="180"/>
      <c r="BK488" s="180"/>
      <c r="BL488" s="180"/>
      <c r="BM488" s="180"/>
      <c r="BN488" s="180"/>
      <c r="BO488" s="180"/>
      <c r="BP488" s="180"/>
      <c r="BQ488" s="180"/>
      <c r="BR488" s="180"/>
      <c r="BS488" s="180"/>
      <c r="BT488" s="180"/>
      <c r="BU488" s="180"/>
      <c r="BV488" s="180"/>
      <c r="BW488" s="180"/>
      <c r="BX488" s="180"/>
      <c r="BY488" s="180"/>
      <c r="BZ488" s="180"/>
      <c r="CA488" s="180"/>
      <c r="CB488" s="180"/>
      <c r="CC488" s="180"/>
      <c r="CD488" s="180"/>
      <c r="CE488" s="180"/>
      <c r="CF488" s="180"/>
      <c r="CG488" s="180"/>
      <c r="CH488" s="180"/>
      <c r="CI488" s="180"/>
      <c r="CJ488" s="180"/>
      <c r="CK488" s="180"/>
      <c r="CL488" s="180"/>
      <c r="CM488" s="180"/>
      <c r="CN488" s="180"/>
      <c r="CO488" s="180"/>
      <c r="CP488" s="180"/>
      <c r="CQ488" s="180"/>
      <c r="CR488" s="180"/>
      <c r="CS488" s="180"/>
      <c r="CT488" s="180"/>
      <c r="CU488" s="180"/>
      <c r="CV488" s="180"/>
      <c r="CW488" s="180"/>
      <c r="CX488" s="180"/>
      <c r="CY488" s="180"/>
      <c r="CZ488" s="180"/>
    </row>
    <row r="489" spans="1:104" x14ac:dyDescent="0.45">
      <c r="A489" s="180" t="s">
        <v>3</v>
      </c>
      <c r="B489" s="73">
        <v>2</v>
      </c>
      <c r="C489" s="73"/>
      <c r="D489" s="180" t="s">
        <v>271</v>
      </c>
      <c r="E489" s="39">
        <v>43596</v>
      </c>
      <c r="F489" s="179">
        <v>0.80486111111111114</v>
      </c>
      <c r="G489" s="180">
        <v>1</v>
      </c>
      <c r="H489" s="180"/>
      <c r="I489" s="180"/>
      <c r="J489" s="180"/>
      <c r="K489" s="180"/>
      <c r="L489" s="180"/>
      <c r="M489" s="180"/>
      <c r="N489" s="180"/>
      <c r="O489" s="180"/>
      <c r="P489" s="180"/>
      <c r="AS489" s="180"/>
      <c r="AT489" s="180"/>
      <c r="AU489" s="180"/>
      <c r="AV489" s="180"/>
      <c r="AW489" s="180"/>
      <c r="AX489" s="180"/>
      <c r="AY489" s="180"/>
      <c r="AZ489" s="180"/>
      <c r="BA489" s="180"/>
      <c r="BB489" s="180"/>
      <c r="BC489" s="180"/>
      <c r="BD489" s="180"/>
      <c r="BE489" s="180"/>
      <c r="BF489" s="180"/>
      <c r="BG489" s="180"/>
      <c r="BH489" s="180"/>
      <c r="BI489" s="180"/>
      <c r="BJ489" s="180"/>
      <c r="BK489" s="180"/>
      <c r="BL489" s="180"/>
      <c r="BM489" s="180"/>
      <c r="BN489" s="180"/>
      <c r="BO489" s="180"/>
      <c r="BP489" s="180"/>
      <c r="BQ489" s="180"/>
      <c r="BR489" s="180"/>
      <c r="BS489" s="180"/>
      <c r="BT489" s="180"/>
      <c r="BU489" s="180"/>
      <c r="BV489" s="180"/>
      <c r="BW489" s="180"/>
      <c r="BX489" s="180"/>
      <c r="BY489" s="180"/>
      <c r="BZ489" s="180"/>
      <c r="CA489" s="180"/>
      <c r="CB489" s="180"/>
      <c r="CC489" s="180"/>
      <c r="CD489" s="180"/>
      <c r="CE489" s="180"/>
      <c r="CF489" s="180"/>
      <c r="CG489" s="180"/>
      <c r="CH489" s="180"/>
      <c r="CI489" s="180"/>
      <c r="CJ489" s="180"/>
      <c r="CK489" s="180"/>
      <c r="CL489" s="180"/>
      <c r="CM489" s="180"/>
      <c r="CN489" s="180"/>
      <c r="CO489" s="180"/>
      <c r="CP489" s="180"/>
      <c r="CQ489" s="180"/>
      <c r="CR489" s="180"/>
      <c r="CS489" s="180"/>
      <c r="CT489" s="180"/>
      <c r="CU489" s="180"/>
      <c r="CV489" s="180"/>
      <c r="CW489" s="180"/>
      <c r="CX489" s="180"/>
      <c r="CY489" s="180"/>
      <c r="CZ489" s="180"/>
    </row>
    <row r="490" spans="1:104" x14ac:dyDescent="0.45">
      <c r="A490" s="180" t="s">
        <v>3</v>
      </c>
      <c r="B490" s="73">
        <v>4</v>
      </c>
      <c r="C490" s="73"/>
      <c r="D490" s="180" t="s">
        <v>271</v>
      </c>
      <c r="E490" s="39">
        <v>43596</v>
      </c>
      <c r="F490" s="179">
        <v>0.72499999999999998</v>
      </c>
      <c r="G490" s="180">
        <v>1</v>
      </c>
      <c r="H490" s="180"/>
      <c r="I490" s="180"/>
      <c r="J490" s="180"/>
      <c r="K490" s="180"/>
      <c r="L490" s="180"/>
      <c r="M490" s="180"/>
      <c r="N490" s="180"/>
      <c r="O490" s="180"/>
      <c r="P490" s="180"/>
      <c r="AS490" s="180"/>
      <c r="AT490" s="180"/>
      <c r="AU490" s="180"/>
      <c r="AV490" s="180"/>
      <c r="AW490" s="180"/>
      <c r="AX490" s="180"/>
      <c r="AY490" s="180"/>
      <c r="AZ490" s="180"/>
      <c r="BA490" s="180"/>
      <c r="BB490" s="180"/>
      <c r="BC490" s="180"/>
      <c r="BD490" s="180"/>
      <c r="BE490" s="180"/>
      <c r="BF490" s="180"/>
      <c r="BG490" s="180"/>
      <c r="BH490" s="180"/>
      <c r="BI490" s="180"/>
      <c r="BJ490" s="180"/>
      <c r="BK490" s="180"/>
      <c r="BL490" s="180"/>
      <c r="BM490" s="180"/>
      <c r="BN490" s="180"/>
      <c r="BO490" s="180"/>
      <c r="BP490" s="180"/>
      <c r="BQ490" s="180"/>
      <c r="BR490" s="180"/>
      <c r="BS490" s="180"/>
      <c r="BT490" s="180"/>
      <c r="BU490" s="180"/>
      <c r="BV490" s="180"/>
      <c r="BW490" s="180"/>
      <c r="BX490" s="180"/>
      <c r="BY490" s="180"/>
      <c r="BZ490" s="180"/>
      <c r="CA490" s="180"/>
      <c r="CB490" s="180"/>
      <c r="CC490" s="180"/>
      <c r="CD490" s="180"/>
      <c r="CE490" s="180"/>
      <c r="CF490" s="180"/>
      <c r="CG490" s="180"/>
      <c r="CH490" s="180"/>
      <c r="CI490" s="180"/>
      <c r="CJ490" s="180"/>
      <c r="CK490" s="180"/>
      <c r="CL490" s="180"/>
      <c r="CM490" s="180"/>
      <c r="CN490" s="180"/>
      <c r="CO490" s="180"/>
      <c r="CP490" s="180"/>
      <c r="CQ490" s="180"/>
      <c r="CR490" s="180"/>
      <c r="CS490" s="180"/>
      <c r="CT490" s="180"/>
      <c r="CU490" s="180"/>
      <c r="CV490" s="180"/>
      <c r="CW490" s="180"/>
      <c r="CX490" s="180"/>
      <c r="CY490" s="180"/>
      <c r="CZ490" s="180"/>
    </row>
    <row r="491" spans="1:104" x14ac:dyDescent="0.45">
      <c r="A491" s="180" t="s">
        <v>3</v>
      </c>
      <c r="B491" s="73">
        <v>2</v>
      </c>
      <c r="C491" s="73"/>
      <c r="D491" s="180" t="s">
        <v>415</v>
      </c>
      <c r="E491" s="39">
        <v>43596</v>
      </c>
      <c r="F491" s="179">
        <v>0.64374999999999993</v>
      </c>
      <c r="G491" s="180">
        <v>2</v>
      </c>
      <c r="H491" s="180"/>
      <c r="I491" s="180"/>
      <c r="J491" s="180"/>
      <c r="K491" s="180"/>
      <c r="L491" s="180"/>
      <c r="M491" s="180"/>
      <c r="N491" s="180"/>
      <c r="O491" s="180"/>
      <c r="P491" s="180"/>
      <c r="AS491" s="180"/>
      <c r="AT491" s="180"/>
      <c r="AU491" s="180"/>
      <c r="AV491" s="180"/>
      <c r="AW491" s="180"/>
      <c r="AX491" s="180"/>
      <c r="AY491" s="180"/>
      <c r="AZ491" s="180"/>
      <c r="BA491" s="180"/>
      <c r="BB491" s="180"/>
      <c r="BC491" s="180"/>
      <c r="BD491" s="180"/>
      <c r="BE491" s="180"/>
      <c r="BF491" s="180"/>
      <c r="BG491" s="180"/>
      <c r="BH491" s="180"/>
      <c r="BI491" s="180"/>
      <c r="BJ491" s="180"/>
      <c r="BK491" s="180"/>
      <c r="BL491" s="180"/>
      <c r="BM491" s="180"/>
      <c r="BN491" s="180"/>
      <c r="BO491" s="180"/>
      <c r="BP491" s="180"/>
      <c r="BQ491" s="180"/>
      <c r="BR491" s="180"/>
      <c r="BS491" s="180"/>
      <c r="BT491" s="180"/>
      <c r="BU491" s="180"/>
      <c r="BV491" s="180"/>
      <c r="BW491" s="180"/>
      <c r="BX491" s="180"/>
      <c r="BY491" s="180"/>
      <c r="BZ491" s="180"/>
      <c r="CA491" s="180"/>
      <c r="CB491" s="180"/>
      <c r="CC491" s="180"/>
      <c r="CD491" s="180"/>
      <c r="CE491" s="180"/>
      <c r="CF491" s="180"/>
      <c r="CG491" s="180"/>
      <c r="CH491" s="180"/>
      <c r="CI491" s="180"/>
      <c r="CJ491" s="180"/>
      <c r="CK491" s="180"/>
      <c r="CL491" s="180"/>
      <c r="CM491" s="180"/>
      <c r="CN491" s="180"/>
      <c r="CO491" s="180"/>
      <c r="CP491" s="180"/>
      <c r="CQ491" s="180"/>
      <c r="CR491" s="180"/>
      <c r="CS491" s="180"/>
      <c r="CT491" s="180"/>
      <c r="CU491" s="180"/>
      <c r="CV491" s="180"/>
      <c r="CW491" s="180"/>
      <c r="CX491" s="180"/>
      <c r="CY491" s="180"/>
      <c r="CZ491" s="180"/>
    </row>
    <row r="492" spans="1:104" x14ac:dyDescent="0.45">
      <c r="A492" s="180" t="s">
        <v>3</v>
      </c>
      <c r="B492" s="73">
        <v>2</v>
      </c>
      <c r="C492" s="73"/>
      <c r="D492" s="180" t="s">
        <v>415</v>
      </c>
      <c r="E492" s="39">
        <v>43596</v>
      </c>
      <c r="F492" s="179">
        <v>0.64374999999999993</v>
      </c>
      <c r="G492" s="180">
        <v>2</v>
      </c>
      <c r="H492" s="180"/>
      <c r="I492" s="180"/>
      <c r="J492" s="180"/>
      <c r="K492" s="180"/>
      <c r="L492" s="180"/>
      <c r="M492" s="180"/>
      <c r="N492" s="180"/>
      <c r="O492" s="180"/>
      <c r="P492" s="180"/>
      <c r="AS492" s="180"/>
      <c r="AT492" s="180"/>
      <c r="AU492" s="180"/>
      <c r="AV492" s="180"/>
      <c r="AW492" s="180"/>
      <c r="AX492" s="180"/>
      <c r="AY492" s="180"/>
      <c r="AZ492" s="180"/>
      <c r="BA492" s="180"/>
      <c r="BB492" s="180"/>
      <c r="BC492" s="180"/>
      <c r="BD492" s="180"/>
      <c r="BE492" s="180"/>
      <c r="BF492" s="180"/>
      <c r="BG492" s="180"/>
      <c r="BH492" s="180"/>
      <c r="BI492" s="180"/>
      <c r="BJ492" s="180"/>
      <c r="BK492" s="180"/>
      <c r="BL492" s="180"/>
      <c r="BM492" s="180"/>
      <c r="BN492" s="180"/>
      <c r="BO492" s="180"/>
      <c r="BP492" s="180"/>
      <c r="BQ492" s="180"/>
      <c r="BR492" s="180"/>
      <c r="BS492" s="180"/>
      <c r="BT492" s="180"/>
      <c r="BU492" s="180"/>
      <c r="BV492" s="180"/>
      <c r="BW492" s="180"/>
      <c r="BX492" s="180"/>
      <c r="BY492" s="180"/>
      <c r="BZ492" s="180"/>
      <c r="CA492" s="180"/>
      <c r="CB492" s="180"/>
      <c r="CC492" s="180"/>
      <c r="CD492" s="180"/>
      <c r="CE492" s="180"/>
      <c r="CF492" s="180"/>
      <c r="CG492" s="180"/>
      <c r="CH492" s="180"/>
      <c r="CI492" s="180"/>
      <c r="CJ492" s="180"/>
      <c r="CK492" s="180"/>
      <c r="CL492" s="180"/>
      <c r="CM492" s="180"/>
      <c r="CN492" s="180"/>
      <c r="CO492" s="180"/>
      <c r="CP492" s="180"/>
      <c r="CQ492" s="180"/>
      <c r="CR492" s="180"/>
      <c r="CS492" s="180"/>
      <c r="CT492" s="180"/>
      <c r="CU492" s="180"/>
      <c r="CV492" s="180"/>
      <c r="CW492" s="180"/>
      <c r="CX492" s="180"/>
      <c r="CY492" s="180"/>
      <c r="CZ492" s="180"/>
    </row>
    <row r="493" spans="1:104" x14ac:dyDescent="0.45">
      <c r="A493" s="180" t="s">
        <v>3</v>
      </c>
      <c r="B493" s="73">
        <v>1</v>
      </c>
      <c r="C493" s="73"/>
      <c r="D493" s="180" t="s">
        <v>378</v>
      </c>
      <c r="E493" s="39">
        <v>43597</v>
      </c>
      <c r="F493" s="179">
        <v>0.81944444444444453</v>
      </c>
      <c r="G493" s="180">
        <v>1</v>
      </c>
      <c r="H493" s="180"/>
      <c r="I493" s="180"/>
      <c r="J493" s="180"/>
      <c r="K493" s="180"/>
      <c r="L493" s="180"/>
      <c r="M493" s="180"/>
      <c r="N493" s="180"/>
      <c r="O493" s="180"/>
      <c r="P493" s="180"/>
      <c r="AS493" s="180"/>
      <c r="AT493" s="180"/>
      <c r="AU493" s="180"/>
      <c r="AV493" s="180"/>
      <c r="AW493" s="180"/>
      <c r="AX493" s="180"/>
      <c r="AY493" s="180"/>
      <c r="AZ493" s="180"/>
      <c r="BA493" s="180"/>
      <c r="BB493" s="180"/>
      <c r="BC493" s="180"/>
      <c r="BD493" s="180"/>
      <c r="BE493" s="180"/>
      <c r="BF493" s="180"/>
      <c r="BG493" s="180"/>
      <c r="BH493" s="180"/>
      <c r="BI493" s="180"/>
      <c r="BJ493" s="180"/>
      <c r="BK493" s="180"/>
      <c r="BL493" s="180"/>
      <c r="BM493" s="180"/>
      <c r="BN493" s="180"/>
      <c r="BO493" s="180"/>
      <c r="BP493" s="180"/>
      <c r="BQ493" s="180"/>
      <c r="BR493" s="180"/>
      <c r="BS493" s="180"/>
      <c r="BT493" s="180"/>
      <c r="BU493" s="180"/>
      <c r="BV493" s="180"/>
      <c r="BW493" s="180"/>
      <c r="BX493" s="180"/>
      <c r="BY493" s="180"/>
      <c r="BZ493" s="180"/>
      <c r="CA493" s="180"/>
      <c r="CB493" s="180"/>
      <c r="CC493" s="180"/>
      <c r="CD493" s="180"/>
      <c r="CE493" s="180"/>
      <c r="CF493" s="180"/>
      <c r="CG493" s="180"/>
      <c r="CH493" s="180"/>
      <c r="CI493" s="180"/>
      <c r="CJ493" s="180"/>
      <c r="CK493" s="180"/>
      <c r="CL493" s="180"/>
      <c r="CM493" s="180"/>
      <c r="CN493" s="180"/>
      <c r="CO493" s="180"/>
      <c r="CP493" s="180"/>
      <c r="CQ493" s="180"/>
      <c r="CR493" s="180"/>
      <c r="CS493" s="180"/>
      <c r="CT493" s="180"/>
      <c r="CU493" s="180"/>
      <c r="CV493" s="180"/>
      <c r="CW493" s="180"/>
      <c r="CX493" s="180"/>
      <c r="CY493" s="180"/>
      <c r="CZ493" s="180"/>
    </row>
    <row r="494" spans="1:104" x14ac:dyDescent="0.45">
      <c r="A494" s="180" t="s">
        <v>3</v>
      </c>
      <c r="B494" s="73">
        <v>1</v>
      </c>
      <c r="C494" s="73"/>
      <c r="D494" s="180" t="s">
        <v>378</v>
      </c>
      <c r="E494" s="39">
        <v>43597</v>
      </c>
      <c r="F494" s="179">
        <v>0.81944444444444453</v>
      </c>
      <c r="G494" s="180">
        <v>1</v>
      </c>
      <c r="H494" s="180"/>
      <c r="I494" s="180"/>
      <c r="J494" s="180"/>
      <c r="K494" s="180"/>
      <c r="L494" s="180"/>
      <c r="M494" s="180"/>
      <c r="N494" s="180"/>
      <c r="O494" s="180"/>
      <c r="P494" s="180"/>
      <c r="AS494" s="180"/>
      <c r="AT494" s="180"/>
      <c r="AU494" s="180"/>
      <c r="AV494" s="180"/>
      <c r="AW494" s="180"/>
      <c r="AX494" s="180"/>
      <c r="AY494" s="180"/>
      <c r="AZ494" s="180"/>
      <c r="BA494" s="180"/>
      <c r="BB494" s="180"/>
      <c r="BC494" s="180"/>
      <c r="BD494" s="180"/>
      <c r="BE494" s="180"/>
      <c r="BF494" s="180"/>
      <c r="BG494" s="180"/>
      <c r="BH494" s="180"/>
      <c r="BI494" s="180"/>
      <c r="BJ494" s="180"/>
      <c r="BK494" s="180"/>
      <c r="BL494" s="180"/>
      <c r="BM494" s="180"/>
      <c r="BN494" s="180"/>
      <c r="BO494" s="180"/>
      <c r="BP494" s="180"/>
      <c r="BQ494" s="180"/>
      <c r="BR494" s="180"/>
      <c r="BS494" s="180"/>
      <c r="BT494" s="180"/>
      <c r="BU494" s="180"/>
      <c r="BV494" s="180"/>
      <c r="BW494" s="180"/>
      <c r="BX494" s="180"/>
      <c r="BY494" s="180"/>
      <c r="BZ494" s="180"/>
      <c r="CA494" s="180"/>
      <c r="CB494" s="180"/>
      <c r="CC494" s="180"/>
      <c r="CD494" s="180"/>
      <c r="CE494" s="180"/>
      <c r="CF494" s="180"/>
      <c r="CG494" s="180"/>
      <c r="CH494" s="180"/>
      <c r="CI494" s="180"/>
      <c r="CJ494" s="180"/>
      <c r="CK494" s="180"/>
      <c r="CL494" s="180"/>
      <c r="CM494" s="180"/>
      <c r="CN494" s="180"/>
      <c r="CO494" s="180"/>
      <c r="CP494" s="180"/>
      <c r="CQ494" s="180"/>
      <c r="CR494" s="180"/>
      <c r="CS494" s="180"/>
      <c r="CT494" s="180"/>
      <c r="CU494" s="180"/>
      <c r="CV494" s="180"/>
      <c r="CW494" s="180"/>
      <c r="CX494" s="180"/>
      <c r="CY494" s="180"/>
      <c r="CZ494" s="180"/>
    </row>
    <row r="495" spans="1:104" x14ac:dyDescent="0.45">
      <c r="A495" s="180" t="s">
        <v>3</v>
      </c>
      <c r="B495" s="73">
        <v>2</v>
      </c>
      <c r="C495" s="73">
        <v>2</v>
      </c>
      <c r="D495" s="180" t="s">
        <v>397</v>
      </c>
      <c r="E495" s="39">
        <v>43597</v>
      </c>
      <c r="F495" s="179">
        <v>0.89583333333333337</v>
      </c>
      <c r="G495" s="180">
        <v>6</v>
      </c>
      <c r="H495" s="180"/>
      <c r="I495" s="180"/>
      <c r="J495" s="180"/>
      <c r="K495" s="180"/>
      <c r="L495" s="180"/>
      <c r="M495" s="180"/>
      <c r="N495" s="180"/>
      <c r="O495" s="180"/>
      <c r="P495" s="180"/>
      <c r="AS495" s="180"/>
      <c r="AT495" s="180"/>
      <c r="AU495" s="180"/>
      <c r="AV495" s="180"/>
      <c r="AW495" s="180"/>
      <c r="AX495" s="180"/>
      <c r="AY495" s="180"/>
      <c r="AZ495" s="180"/>
      <c r="BA495" s="180"/>
      <c r="BB495" s="180"/>
      <c r="BC495" s="180"/>
      <c r="BD495" s="180"/>
      <c r="BE495" s="180"/>
      <c r="BF495" s="180"/>
      <c r="BG495" s="180"/>
      <c r="BH495" s="180"/>
      <c r="BI495" s="180"/>
      <c r="BJ495" s="180"/>
      <c r="BK495" s="180"/>
      <c r="BL495" s="180"/>
      <c r="BM495" s="180"/>
      <c r="BN495" s="180"/>
      <c r="BO495" s="180"/>
      <c r="BP495" s="180"/>
      <c r="BQ495" s="180"/>
      <c r="BR495" s="180"/>
      <c r="BS495" s="180"/>
      <c r="BT495" s="180"/>
      <c r="BU495" s="180"/>
      <c r="BV495" s="180"/>
      <c r="BW495" s="180"/>
      <c r="BX495" s="180"/>
      <c r="BY495" s="180"/>
      <c r="BZ495" s="180"/>
      <c r="CA495" s="180"/>
      <c r="CB495" s="180"/>
      <c r="CC495" s="180"/>
      <c r="CD495" s="180"/>
      <c r="CE495" s="180"/>
      <c r="CF495" s="180"/>
      <c r="CG495" s="180"/>
      <c r="CH495" s="180"/>
      <c r="CI495" s="180"/>
      <c r="CJ495" s="180"/>
      <c r="CK495" s="180"/>
      <c r="CL495" s="180"/>
      <c r="CM495" s="180"/>
      <c r="CN495" s="180"/>
      <c r="CO495" s="180"/>
      <c r="CP495" s="180"/>
      <c r="CQ495" s="180"/>
      <c r="CR495" s="180"/>
      <c r="CS495" s="180"/>
      <c r="CT495" s="180"/>
      <c r="CU495" s="180"/>
      <c r="CV495" s="180"/>
      <c r="CW495" s="180"/>
      <c r="CX495" s="180"/>
      <c r="CY495" s="180"/>
      <c r="CZ495" s="180"/>
    </row>
    <row r="496" spans="1:104" x14ac:dyDescent="0.45">
      <c r="A496" s="180" t="s">
        <v>3</v>
      </c>
      <c r="B496" s="73">
        <v>2</v>
      </c>
      <c r="C496" s="73"/>
      <c r="D496" s="180" t="s">
        <v>425</v>
      </c>
      <c r="E496" s="39">
        <v>43597</v>
      </c>
      <c r="F496" s="179">
        <v>0.72569444444444453</v>
      </c>
      <c r="G496" s="180">
        <v>6</v>
      </c>
      <c r="H496" s="180" t="s">
        <v>447</v>
      </c>
      <c r="I496" s="180"/>
      <c r="J496" s="180"/>
      <c r="K496" s="180"/>
      <c r="L496" s="180"/>
      <c r="M496" s="180"/>
      <c r="N496" s="180"/>
      <c r="O496" s="180"/>
      <c r="P496" s="180"/>
      <c r="AS496" s="180"/>
      <c r="AT496" s="180"/>
      <c r="AU496" s="180"/>
      <c r="AV496" s="180"/>
      <c r="AW496" s="180"/>
      <c r="AX496" s="180"/>
      <c r="AY496" s="180"/>
      <c r="AZ496" s="180"/>
      <c r="BA496" s="180"/>
      <c r="BB496" s="180"/>
      <c r="BC496" s="180"/>
      <c r="BD496" s="180"/>
      <c r="BE496" s="180"/>
      <c r="BF496" s="180"/>
      <c r="BG496" s="180"/>
      <c r="BH496" s="180"/>
      <c r="BI496" s="180"/>
      <c r="BJ496" s="180"/>
      <c r="BK496" s="180"/>
      <c r="BL496" s="180"/>
      <c r="BM496" s="180"/>
      <c r="BN496" s="180"/>
      <c r="BO496" s="180"/>
      <c r="BP496" s="180"/>
      <c r="BQ496" s="180"/>
      <c r="BR496" s="180"/>
      <c r="BS496" s="180"/>
      <c r="BT496" s="180"/>
      <c r="BU496" s="180"/>
      <c r="BV496" s="180"/>
      <c r="BW496" s="180"/>
      <c r="BX496" s="180"/>
      <c r="BY496" s="180"/>
      <c r="BZ496" s="180"/>
      <c r="CA496" s="180"/>
      <c r="CB496" s="180"/>
      <c r="CC496" s="180"/>
      <c r="CD496" s="180"/>
      <c r="CE496" s="180"/>
      <c r="CF496" s="180"/>
      <c r="CG496" s="180"/>
      <c r="CH496" s="180"/>
      <c r="CI496" s="180"/>
      <c r="CJ496" s="180"/>
      <c r="CK496" s="180"/>
      <c r="CL496" s="180"/>
      <c r="CM496" s="180"/>
      <c r="CN496" s="180"/>
      <c r="CO496" s="180"/>
      <c r="CP496" s="180"/>
      <c r="CQ496" s="180"/>
      <c r="CR496" s="180"/>
      <c r="CS496" s="180"/>
      <c r="CT496" s="180"/>
      <c r="CU496" s="180"/>
      <c r="CV496" s="180"/>
      <c r="CW496" s="180"/>
      <c r="CX496" s="180"/>
      <c r="CY496" s="180"/>
      <c r="CZ496" s="180"/>
    </row>
    <row r="497" spans="1:104" x14ac:dyDescent="0.45">
      <c r="A497" s="180" t="s">
        <v>3</v>
      </c>
      <c r="B497" s="73">
        <v>1</v>
      </c>
      <c r="C497" s="73"/>
      <c r="D497" s="180" t="s">
        <v>296</v>
      </c>
      <c r="E497" s="39">
        <v>43597</v>
      </c>
      <c r="F497" s="179">
        <v>0.31944444444444448</v>
      </c>
      <c r="G497" s="180">
        <v>1</v>
      </c>
      <c r="H497" s="180" t="s">
        <v>448</v>
      </c>
      <c r="I497" s="180"/>
      <c r="J497" s="180"/>
      <c r="K497" s="180"/>
      <c r="L497" s="180"/>
      <c r="M497" s="180"/>
      <c r="N497" s="180"/>
      <c r="O497" s="180"/>
      <c r="P497" s="180"/>
      <c r="AS497" s="180"/>
      <c r="AT497" s="180"/>
      <c r="AU497" s="180"/>
      <c r="AV497" s="180"/>
      <c r="AW497" s="180"/>
      <c r="AX497" s="180"/>
      <c r="AY497" s="180"/>
      <c r="AZ497" s="180"/>
      <c r="BA497" s="180"/>
      <c r="BB497" s="180"/>
      <c r="BC497" s="180"/>
      <c r="BD497" s="180"/>
      <c r="BE497" s="180"/>
      <c r="BF497" s="180"/>
      <c r="BG497" s="180"/>
      <c r="BH497" s="180"/>
      <c r="BI497" s="180"/>
      <c r="BJ497" s="180"/>
      <c r="BK497" s="180"/>
      <c r="BL497" s="180"/>
      <c r="BM497" s="180"/>
      <c r="BN497" s="180"/>
      <c r="BO497" s="180"/>
      <c r="BP497" s="180"/>
      <c r="BQ497" s="180"/>
      <c r="BR497" s="180"/>
      <c r="BS497" s="180"/>
      <c r="BT497" s="180"/>
      <c r="BU497" s="180"/>
      <c r="BV497" s="180"/>
      <c r="BW497" s="180"/>
      <c r="BX497" s="180"/>
      <c r="BY497" s="180"/>
      <c r="BZ497" s="180"/>
      <c r="CA497" s="180"/>
      <c r="CB497" s="180"/>
      <c r="CC497" s="180"/>
      <c r="CD497" s="180"/>
      <c r="CE497" s="180"/>
      <c r="CF497" s="180"/>
      <c r="CG497" s="180"/>
      <c r="CH497" s="180"/>
      <c r="CI497" s="180"/>
      <c r="CJ497" s="180"/>
      <c r="CK497" s="180"/>
      <c r="CL497" s="180"/>
      <c r="CM497" s="180"/>
      <c r="CN497" s="180"/>
      <c r="CO497" s="180"/>
      <c r="CP497" s="180"/>
      <c r="CQ497" s="180"/>
      <c r="CR497" s="180"/>
      <c r="CS497" s="180"/>
      <c r="CT497" s="180"/>
      <c r="CU497" s="180"/>
      <c r="CV497" s="180"/>
      <c r="CW497" s="180"/>
      <c r="CX497" s="180"/>
      <c r="CY497" s="180"/>
      <c r="CZ497" s="180"/>
    </row>
    <row r="498" spans="1:104" x14ac:dyDescent="0.45">
      <c r="A498" s="180" t="s">
        <v>3</v>
      </c>
      <c r="B498" s="73">
        <v>1</v>
      </c>
      <c r="C498" s="73"/>
      <c r="D498" s="180" t="s">
        <v>296</v>
      </c>
      <c r="E498" s="39">
        <v>43597</v>
      </c>
      <c r="F498" s="179">
        <v>0.59166666666666667</v>
      </c>
      <c r="G498" s="180">
        <v>6</v>
      </c>
      <c r="H498" s="180" t="s">
        <v>449</v>
      </c>
      <c r="I498" s="180"/>
      <c r="J498" s="180"/>
      <c r="K498" s="180"/>
      <c r="L498" s="180"/>
      <c r="M498" s="180"/>
      <c r="N498" s="180"/>
      <c r="O498" s="180"/>
      <c r="P498" s="180"/>
      <c r="AS498" s="180"/>
      <c r="AT498" s="180"/>
      <c r="AU498" s="180"/>
      <c r="AV498" s="180"/>
      <c r="AW498" s="180"/>
      <c r="AX498" s="180"/>
      <c r="AY498" s="180"/>
      <c r="AZ498" s="180"/>
      <c r="BA498" s="180"/>
      <c r="BB498" s="180"/>
      <c r="BC498" s="180"/>
      <c r="BD498" s="180"/>
      <c r="BE498" s="180"/>
      <c r="BF498" s="180"/>
      <c r="BG498" s="180"/>
      <c r="BH498" s="180"/>
      <c r="BI498" s="180"/>
      <c r="BJ498" s="180"/>
      <c r="BK498" s="180"/>
      <c r="BL498" s="180"/>
      <c r="BM498" s="180"/>
      <c r="BN498" s="180"/>
      <c r="BO498" s="180"/>
      <c r="BP498" s="180"/>
      <c r="BQ498" s="180"/>
      <c r="BR498" s="180"/>
      <c r="BS498" s="180"/>
      <c r="BT498" s="180"/>
      <c r="BU498" s="180"/>
      <c r="BV498" s="180"/>
      <c r="BW498" s="180"/>
      <c r="BX498" s="180"/>
      <c r="BY498" s="180"/>
      <c r="BZ498" s="180"/>
      <c r="CA498" s="180"/>
      <c r="CB498" s="180"/>
      <c r="CC498" s="180"/>
      <c r="CD498" s="180"/>
      <c r="CE498" s="180"/>
      <c r="CF498" s="180"/>
      <c r="CG498" s="180"/>
      <c r="CH498" s="180"/>
      <c r="CI498" s="180"/>
      <c r="CJ498" s="180"/>
      <c r="CK498" s="180"/>
      <c r="CL498" s="180"/>
      <c r="CM498" s="180"/>
      <c r="CN498" s="180"/>
      <c r="CO498" s="180"/>
      <c r="CP498" s="180"/>
      <c r="CQ498" s="180"/>
      <c r="CR498" s="180"/>
      <c r="CS498" s="180"/>
      <c r="CT498" s="180"/>
      <c r="CU498" s="180"/>
      <c r="CV498" s="180"/>
      <c r="CW498" s="180"/>
      <c r="CX498" s="180"/>
      <c r="CY498" s="180"/>
      <c r="CZ498" s="180"/>
    </row>
    <row r="499" spans="1:104" x14ac:dyDescent="0.45">
      <c r="A499" s="180" t="s">
        <v>3</v>
      </c>
      <c r="B499" s="73">
        <v>2</v>
      </c>
      <c r="C499" s="73"/>
      <c r="D499" s="180" t="s">
        <v>296</v>
      </c>
      <c r="E499" s="39">
        <v>43597</v>
      </c>
      <c r="F499" s="179">
        <v>0.26597222222222222</v>
      </c>
      <c r="G499" s="180">
        <v>20</v>
      </c>
      <c r="H499" s="180"/>
      <c r="I499" s="180"/>
      <c r="J499" s="180"/>
      <c r="K499" s="180"/>
      <c r="L499" s="180"/>
      <c r="M499" s="180"/>
      <c r="N499" s="180"/>
      <c r="O499" s="180"/>
      <c r="P499" s="180"/>
      <c r="AS499" s="180"/>
      <c r="AT499" s="180"/>
      <c r="AU499" s="180"/>
      <c r="AV499" s="180"/>
      <c r="AW499" s="180"/>
      <c r="AX499" s="180"/>
      <c r="AY499" s="180"/>
      <c r="AZ499" s="180"/>
      <c r="BA499" s="180"/>
      <c r="BB499" s="180"/>
      <c r="BC499" s="180"/>
      <c r="BD499" s="180"/>
      <c r="BE499" s="180"/>
      <c r="BF499" s="180"/>
      <c r="BG499" s="180"/>
      <c r="BH499" s="180"/>
      <c r="BI499" s="180"/>
      <c r="BJ499" s="180"/>
      <c r="BK499" s="180"/>
      <c r="BL499" s="180"/>
      <c r="BM499" s="180"/>
      <c r="BN499" s="180"/>
      <c r="BO499" s="180"/>
      <c r="BP499" s="180"/>
      <c r="BQ499" s="180"/>
      <c r="BR499" s="180"/>
      <c r="BS499" s="180"/>
      <c r="BT499" s="180"/>
      <c r="BU499" s="180"/>
      <c r="BV499" s="180"/>
      <c r="BW499" s="180"/>
      <c r="BX499" s="180"/>
      <c r="BY499" s="180"/>
      <c r="BZ499" s="180"/>
      <c r="CA499" s="180"/>
      <c r="CB499" s="180"/>
      <c r="CC499" s="180"/>
      <c r="CD499" s="180"/>
      <c r="CE499" s="180"/>
      <c r="CF499" s="180"/>
      <c r="CG499" s="180"/>
      <c r="CH499" s="180"/>
      <c r="CI499" s="180"/>
      <c r="CJ499" s="180"/>
      <c r="CK499" s="180"/>
      <c r="CL499" s="180"/>
      <c r="CM499" s="180"/>
      <c r="CN499" s="180"/>
      <c r="CO499" s="180"/>
      <c r="CP499" s="180"/>
      <c r="CQ499" s="180"/>
      <c r="CR499" s="180"/>
      <c r="CS499" s="180"/>
      <c r="CT499" s="180"/>
      <c r="CU499" s="180"/>
      <c r="CV499" s="180"/>
      <c r="CW499" s="180"/>
      <c r="CX499" s="180"/>
      <c r="CY499" s="180"/>
      <c r="CZ499" s="180"/>
    </row>
    <row r="500" spans="1:104" x14ac:dyDescent="0.45">
      <c r="A500" s="180" t="s">
        <v>3</v>
      </c>
      <c r="B500" s="73">
        <v>1</v>
      </c>
      <c r="C500" s="73"/>
      <c r="D500" s="180" t="s">
        <v>296</v>
      </c>
      <c r="E500" s="39">
        <v>43597</v>
      </c>
      <c r="F500" s="179">
        <v>0.29166666666666669</v>
      </c>
      <c r="G500" s="180">
        <v>1</v>
      </c>
      <c r="H500" s="180" t="s">
        <v>450</v>
      </c>
      <c r="I500" s="180"/>
      <c r="J500" s="180"/>
      <c r="K500" s="180"/>
      <c r="L500" s="180"/>
      <c r="M500" s="180"/>
      <c r="N500" s="180"/>
      <c r="O500" s="180"/>
      <c r="P500" s="180"/>
      <c r="AS500" s="180"/>
      <c r="AT500" s="180"/>
      <c r="AU500" s="180"/>
      <c r="AV500" s="180"/>
      <c r="AW500" s="180"/>
      <c r="AX500" s="180"/>
      <c r="AY500" s="180"/>
      <c r="AZ500" s="180"/>
      <c r="BA500" s="180"/>
      <c r="BB500" s="180"/>
      <c r="BC500" s="180"/>
      <c r="BD500" s="180"/>
      <c r="BE500" s="180"/>
      <c r="BF500" s="180"/>
      <c r="BG500" s="180"/>
      <c r="BH500" s="180"/>
      <c r="BI500" s="180"/>
      <c r="BJ500" s="180"/>
      <c r="BK500" s="180"/>
      <c r="BL500" s="180"/>
      <c r="BM500" s="180"/>
      <c r="BN500" s="180"/>
      <c r="BO500" s="180"/>
      <c r="BP500" s="180"/>
      <c r="BQ500" s="180"/>
      <c r="BR500" s="180"/>
      <c r="BS500" s="180"/>
      <c r="BT500" s="180"/>
      <c r="BU500" s="180"/>
      <c r="BV500" s="180"/>
      <c r="BW500" s="180"/>
      <c r="BX500" s="180"/>
      <c r="BY500" s="180"/>
      <c r="BZ500" s="180"/>
      <c r="CA500" s="180"/>
      <c r="CB500" s="180"/>
      <c r="CC500" s="180"/>
      <c r="CD500" s="180"/>
      <c r="CE500" s="180"/>
      <c r="CF500" s="180"/>
      <c r="CG500" s="180"/>
      <c r="CH500" s="180"/>
      <c r="CI500" s="180"/>
      <c r="CJ500" s="180"/>
      <c r="CK500" s="180"/>
      <c r="CL500" s="180"/>
      <c r="CM500" s="180"/>
      <c r="CN500" s="180"/>
      <c r="CO500" s="180"/>
      <c r="CP500" s="180"/>
      <c r="CQ500" s="180"/>
      <c r="CR500" s="180"/>
      <c r="CS500" s="180"/>
      <c r="CT500" s="180"/>
      <c r="CU500" s="180"/>
      <c r="CV500" s="180"/>
      <c r="CW500" s="180"/>
      <c r="CX500" s="180"/>
      <c r="CY500" s="180"/>
      <c r="CZ500" s="180"/>
    </row>
    <row r="501" spans="1:104" x14ac:dyDescent="0.45">
      <c r="A501" s="180" t="s">
        <v>3</v>
      </c>
      <c r="B501" s="73">
        <v>2</v>
      </c>
      <c r="C501" s="73">
        <v>2</v>
      </c>
      <c r="D501" s="180" t="s">
        <v>296</v>
      </c>
      <c r="E501" s="39">
        <v>43597</v>
      </c>
      <c r="F501" s="179">
        <v>0.27361111111111108</v>
      </c>
      <c r="G501" s="180">
        <v>6</v>
      </c>
      <c r="H501" s="180" t="s">
        <v>297</v>
      </c>
      <c r="I501" s="180"/>
      <c r="J501" s="180"/>
      <c r="K501" s="180"/>
      <c r="L501" s="180"/>
      <c r="M501" s="180"/>
      <c r="N501" s="180"/>
      <c r="O501" s="180"/>
      <c r="P501" s="180"/>
      <c r="AS501" s="180"/>
      <c r="AT501" s="180"/>
      <c r="AU501" s="180"/>
      <c r="AV501" s="180"/>
      <c r="AW501" s="180"/>
      <c r="AX501" s="180"/>
      <c r="AY501" s="180"/>
      <c r="AZ501" s="180"/>
      <c r="BA501" s="180"/>
      <c r="BB501" s="180"/>
      <c r="BC501" s="180"/>
      <c r="BD501" s="180"/>
      <c r="BE501" s="180"/>
      <c r="BF501" s="180"/>
      <c r="BG501" s="180"/>
      <c r="BH501" s="180"/>
      <c r="BI501" s="180"/>
      <c r="BJ501" s="180"/>
      <c r="BK501" s="180"/>
      <c r="BL501" s="180"/>
      <c r="BM501" s="180"/>
      <c r="BN501" s="180"/>
      <c r="BO501" s="180"/>
      <c r="BP501" s="180"/>
      <c r="BQ501" s="180"/>
      <c r="BR501" s="180"/>
      <c r="BS501" s="180"/>
      <c r="BT501" s="180"/>
      <c r="BU501" s="180"/>
      <c r="BV501" s="180"/>
      <c r="BW501" s="180"/>
      <c r="BX501" s="180"/>
      <c r="BY501" s="180"/>
      <c r="BZ501" s="180"/>
      <c r="CA501" s="180"/>
      <c r="CB501" s="180"/>
      <c r="CC501" s="180"/>
      <c r="CD501" s="180"/>
      <c r="CE501" s="180"/>
      <c r="CF501" s="180"/>
      <c r="CG501" s="180"/>
      <c r="CH501" s="180"/>
      <c r="CI501" s="180"/>
      <c r="CJ501" s="180"/>
      <c r="CK501" s="180"/>
      <c r="CL501" s="180"/>
      <c r="CM501" s="180"/>
      <c r="CN501" s="180"/>
      <c r="CO501" s="180"/>
      <c r="CP501" s="180"/>
      <c r="CQ501" s="180"/>
      <c r="CR501" s="180"/>
      <c r="CS501" s="180"/>
      <c r="CT501" s="180"/>
      <c r="CU501" s="180"/>
      <c r="CV501" s="180"/>
      <c r="CW501" s="180"/>
      <c r="CX501" s="180"/>
      <c r="CY501" s="180"/>
      <c r="CZ501" s="180"/>
    </row>
    <row r="502" spans="1:104" x14ac:dyDescent="0.45">
      <c r="A502" s="180" t="s">
        <v>3</v>
      </c>
      <c r="B502" s="73">
        <v>2</v>
      </c>
      <c r="C502" s="73">
        <v>2</v>
      </c>
      <c r="D502" s="180" t="s">
        <v>425</v>
      </c>
      <c r="E502" s="39">
        <v>43598</v>
      </c>
      <c r="F502" s="179">
        <v>0.34375</v>
      </c>
      <c r="G502" s="180">
        <v>6</v>
      </c>
      <c r="H502" s="180" t="s">
        <v>451</v>
      </c>
      <c r="I502" s="180"/>
      <c r="J502" s="180"/>
      <c r="K502" s="180"/>
      <c r="L502" s="180"/>
      <c r="M502" s="180"/>
      <c r="N502" s="180"/>
      <c r="O502" s="180"/>
      <c r="P502" s="180"/>
      <c r="AS502" s="180"/>
      <c r="AT502" s="180"/>
      <c r="AU502" s="180"/>
      <c r="AV502" s="180"/>
      <c r="AW502" s="180"/>
      <c r="AX502" s="180"/>
      <c r="AY502" s="180"/>
      <c r="AZ502" s="180"/>
      <c r="BA502" s="180"/>
      <c r="BB502" s="180"/>
      <c r="BC502" s="180"/>
      <c r="BD502" s="180"/>
      <c r="BE502" s="180"/>
      <c r="BF502" s="180"/>
      <c r="BG502" s="180"/>
      <c r="BH502" s="180"/>
      <c r="BI502" s="180"/>
      <c r="BJ502" s="180"/>
      <c r="BK502" s="180"/>
      <c r="BL502" s="180"/>
      <c r="BM502" s="180"/>
      <c r="BN502" s="180"/>
      <c r="BO502" s="180"/>
      <c r="BP502" s="180"/>
      <c r="BQ502" s="180"/>
      <c r="BR502" s="180"/>
      <c r="BS502" s="180"/>
      <c r="BT502" s="180"/>
      <c r="BU502" s="180"/>
      <c r="BV502" s="180"/>
      <c r="BW502" s="180"/>
      <c r="BX502" s="180"/>
      <c r="BY502" s="180"/>
      <c r="BZ502" s="180"/>
      <c r="CA502" s="180"/>
      <c r="CB502" s="180"/>
      <c r="CC502" s="180"/>
      <c r="CD502" s="180"/>
      <c r="CE502" s="180"/>
      <c r="CF502" s="180"/>
      <c r="CG502" s="180"/>
      <c r="CH502" s="180"/>
      <c r="CI502" s="180"/>
      <c r="CJ502" s="180"/>
      <c r="CK502" s="180"/>
      <c r="CL502" s="180"/>
      <c r="CM502" s="180"/>
      <c r="CN502" s="180"/>
      <c r="CO502" s="180"/>
      <c r="CP502" s="180"/>
      <c r="CQ502" s="180"/>
      <c r="CR502" s="180"/>
      <c r="CS502" s="180"/>
      <c r="CT502" s="180"/>
      <c r="CU502" s="180"/>
      <c r="CV502" s="180"/>
      <c r="CW502" s="180"/>
      <c r="CX502" s="180"/>
      <c r="CY502" s="180"/>
      <c r="CZ502" s="180"/>
    </row>
    <row r="503" spans="1:104" x14ac:dyDescent="0.45">
      <c r="A503" s="180" t="s">
        <v>3</v>
      </c>
      <c r="B503" s="73">
        <v>1</v>
      </c>
      <c r="C503" s="73"/>
      <c r="D503" s="180" t="s">
        <v>296</v>
      </c>
      <c r="E503" s="39">
        <v>43598</v>
      </c>
      <c r="F503" s="179">
        <v>0.60833333333333328</v>
      </c>
      <c r="G503" s="180">
        <v>1</v>
      </c>
      <c r="H503" s="180"/>
      <c r="I503" s="180"/>
      <c r="J503" s="180"/>
      <c r="K503" s="180"/>
      <c r="L503" s="180"/>
      <c r="M503" s="180"/>
      <c r="N503" s="180"/>
      <c r="O503" s="180"/>
      <c r="P503" s="180"/>
      <c r="AS503" s="180"/>
      <c r="AT503" s="180"/>
      <c r="AU503" s="180"/>
      <c r="AV503" s="180"/>
      <c r="AW503" s="180"/>
      <c r="AX503" s="180"/>
      <c r="AY503" s="180"/>
      <c r="AZ503" s="180"/>
      <c r="BA503" s="180"/>
      <c r="BB503" s="180"/>
      <c r="BC503" s="180"/>
      <c r="BD503" s="180"/>
      <c r="BE503" s="180"/>
      <c r="BF503" s="180"/>
      <c r="BG503" s="180"/>
      <c r="BH503" s="180"/>
      <c r="BI503" s="180"/>
      <c r="BJ503" s="180"/>
      <c r="BK503" s="180"/>
      <c r="BL503" s="180"/>
      <c r="BM503" s="180"/>
      <c r="BN503" s="180"/>
      <c r="BO503" s="180"/>
      <c r="BP503" s="180"/>
      <c r="BQ503" s="180"/>
      <c r="BR503" s="180"/>
      <c r="BS503" s="180"/>
      <c r="BT503" s="180"/>
      <c r="BU503" s="180"/>
      <c r="BV503" s="180"/>
      <c r="BW503" s="180"/>
      <c r="BX503" s="180"/>
      <c r="BY503" s="180"/>
      <c r="BZ503" s="180"/>
      <c r="CA503" s="180"/>
      <c r="CB503" s="180"/>
      <c r="CC503" s="180"/>
      <c r="CD503" s="180"/>
      <c r="CE503" s="180"/>
      <c r="CF503" s="180"/>
      <c r="CG503" s="180"/>
      <c r="CH503" s="180"/>
      <c r="CI503" s="180"/>
      <c r="CJ503" s="180"/>
      <c r="CK503" s="180"/>
      <c r="CL503" s="180"/>
      <c r="CM503" s="180"/>
      <c r="CN503" s="180"/>
      <c r="CO503" s="180"/>
      <c r="CP503" s="180"/>
      <c r="CQ503" s="180"/>
      <c r="CR503" s="180"/>
      <c r="CS503" s="180"/>
      <c r="CT503" s="180"/>
      <c r="CU503" s="180"/>
      <c r="CV503" s="180"/>
      <c r="CW503" s="180"/>
      <c r="CX503" s="180"/>
      <c r="CY503" s="180"/>
      <c r="CZ503" s="180"/>
    </row>
    <row r="504" spans="1:104" x14ac:dyDescent="0.45">
      <c r="A504" s="180" t="s">
        <v>3</v>
      </c>
      <c r="B504" s="73">
        <v>1</v>
      </c>
      <c r="C504" s="73">
        <v>1</v>
      </c>
      <c r="D504" s="180" t="s">
        <v>452</v>
      </c>
      <c r="E504" s="39">
        <v>43598</v>
      </c>
      <c r="F504" s="179">
        <v>0.28472222222222221</v>
      </c>
      <c r="G504" s="180">
        <v>2</v>
      </c>
      <c r="H504" s="180"/>
      <c r="I504" s="180"/>
      <c r="J504" s="180"/>
      <c r="K504" s="180"/>
      <c r="L504" s="180"/>
      <c r="M504" s="180"/>
      <c r="N504" s="180"/>
      <c r="O504" s="180"/>
      <c r="P504" s="180"/>
      <c r="AS504" s="180"/>
      <c r="AT504" s="180"/>
      <c r="AU504" s="180"/>
      <c r="AV504" s="180"/>
      <c r="AW504" s="180"/>
      <c r="AX504" s="180"/>
      <c r="AY504" s="180"/>
      <c r="AZ504" s="180"/>
      <c r="BA504" s="180"/>
      <c r="BB504" s="180"/>
      <c r="BC504" s="180"/>
      <c r="BD504" s="180"/>
      <c r="BE504" s="180"/>
      <c r="BF504" s="180"/>
      <c r="BG504" s="180"/>
      <c r="BH504" s="180"/>
      <c r="BI504" s="180"/>
      <c r="BJ504" s="180"/>
      <c r="BK504" s="180"/>
      <c r="BL504" s="180"/>
      <c r="BM504" s="180"/>
      <c r="BN504" s="180"/>
      <c r="BO504" s="180"/>
      <c r="BP504" s="180"/>
      <c r="BQ504" s="180"/>
      <c r="BR504" s="180"/>
      <c r="BS504" s="180"/>
      <c r="BT504" s="180"/>
      <c r="BU504" s="180"/>
      <c r="BV504" s="180"/>
      <c r="BW504" s="180"/>
      <c r="BX504" s="180"/>
      <c r="BY504" s="180"/>
      <c r="BZ504" s="180"/>
      <c r="CA504" s="180"/>
      <c r="CB504" s="180"/>
      <c r="CC504" s="180"/>
      <c r="CD504" s="180"/>
      <c r="CE504" s="180"/>
      <c r="CF504" s="180"/>
      <c r="CG504" s="180"/>
      <c r="CH504" s="180"/>
      <c r="CI504" s="180"/>
      <c r="CJ504" s="180"/>
      <c r="CK504" s="180"/>
      <c r="CL504" s="180"/>
      <c r="CM504" s="180"/>
      <c r="CN504" s="180"/>
      <c r="CO504" s="180"/>
      <c r="CP504" s="180"/>
      <c r="CQ504" s="180"/>
      <c r="CR504" s="180"/>
      <c r="CS504" s="180"/>
      <c r="CT504" s="180"/>
      <c r="CU504" s="180"/>
      <c r="CV504" s="180"/>
      <c r="CW504" s="180"/>
      <c r="CX504" s="180"/>
      <c r="CY504" s="180"/>
      <c r="CZ504" s="180"/>
    </row>
    <row r="505" spans="1:104" x14ac:dyDescent="0.45">
      <c r="A505" s="180" t="s">
        <v>3</v>
      </c>
      <c r="B505" s="73">
        <v>2</v>
      </c>
      <c r="C505" s="73">
        <v>2</v>
      </c>
      <c r="D505" s="180" t="s">
        <v>422</v>
      </c>
      <c r="E505" s="39">
        <v>43598</v>
      </c>
      <c r="F505" s="179">
        <v>0.44513888888888892</v>
      </c>
      <c r="G505" s="180">
        <v>1</v>
      </c>
      <c r="H505" s="180" t="s">
        <v>453</v>
      </c>
      <c r="I505" s="180"/>
      <c r="J505" s="180"/>
      <c r="K505" s="180"/>
      <c r="L505" s="180"/>
      <c r="M505" s="180"/>
      <c r="N505" s="180"/>
      <c r="O505" s="180"/>
      <c r="P505" s="180"/>
      <c r="AS505" s="180"/>
      <c r="AT505" s="180"/>
      <c r="AU505" s="180"/>
      <c r="AV505" s="180"/>
      <c r="AW505" s="180"/>
      <c r="AX505" s="180"/>
      <c r="AY505" s="180"/>
      <c r="AZ505" s="180"/>
      <c r="BA505" s="180"/>
      <c r="BB505" s="180"/>
      <c r="BC505" s="180"/>
      <c r="BD505" s="180"/>
      <c r="BE505" s="180"/>
      <c r="BF505" s="180"/>
      <c r="BG505" s="180"/>
      <c r="BH505" s="180"/>
      <c r="BI505" s="180"/>
      <c r="BJ505" s="180"/>
      <c r="BK505" s="180"/>
      <c r="BL505" s="180"/>
      <c r="BM505" s="180"/>
      <c r="BN505" s="180"/>
      <c r="BO505" s="180"/>
      <c r="BP505" s="180"/>
      <c r="BQ505" s="180"/>
      <c r="BR505" s="180"/>
      <c r="BS505" s="180"/>
      <c r="BT505" s="180"/>
      <c r="BU505" s="180"/>
      <c r="BV505" s="180"/>
      <c r="BW505" s="180"/>
      <c r="BX505" s="180"/>
      <c r="BY505" s="180"/>
      <c r="BZ505" s="180"/>
      <c r="CA505" s="180"/>
      <c r="CB505" s="180"/>
      <c r="CC505" s="180"/>
      <c r="CD505" s="180"/>
      <c r="CE505" s="180"/>
      <c r="CF505" s="180"/>
      <c r="CG505" s="180"/>
      <c r="CH505" s="180"/>
      <c r="CI505" s="180"/>
      <c r="CJ505" s="180"/>
      <c r="CK505" s="180"/>
      <c r="CL505" s="180"/>
      <c r="CM505" s="180"/>
      <c r="CN505" s="180"/>
      <c r="CO505" s="180"/>
      <c r="CP505" s="180"/>
      <c r="CQ505" s="180"/>
      <c r="CR505" s="180"/>
      <c r="CS505" s="180"/>
      <c r="CT505" s="180"/>
      <c r="CU505" s="180"/>
      <c r="CV505" s="180"/>
      <c r="CW505" s="180"/>
      <c r="CX505" s="180"/>
      <c r="CY505" s="180"/>
      <c r="CZ505" s="180"/>
    </row>
    <row r="506" spans="1:104" x14ac:dyDescent="0.45">
      <c r="A506" s="180" t="s">
        <v>3</v>
      </c>
      <c r="B506" s="73">
        <v>2</v>
      </c>
      <c r="C506" s="73"/>
      <c r="D506" s="180" t="s">
        <v>422</v>
      </c>
      <c r="E506" s="39">
        <v>43598</v>
      </c>
      <c r="F506" s="179">
        <v>0.44513888888888892</v>
      </c>
      <c r="G506" s="180">
        <v>1</v>
      </c>
      <c r="H506" s="180" t="s">
        <v>453</v>
      </c>
      <c r="I506" s="180"/>
      <c r="J506" s="180"/>
      <c r="K506" s="180"/>
      <c r="L506" s="180"/>
      <c r="M506" s="180"/>
      <c r="N506" s="180"/>
      <c r="O506" s="180"/>
      <c r="P506" s="180"/>
      <c r="AS506" s="180"/>
      <c r="AT506" s="180"/>
      <c r="AU506" s="180"/>
      <c r="AV506" s="180"/>
      <c r="AW506" s="180"/>
      <c r="AX506" s="180"/>
      <c r="AY506" s="180"/>
      <c r="AZ506" s="180"/>
      <c r="BA506" s="180"/>
      <c r="BB506" s="180"/>
      <c r="BC506" s="180"/>
      <c r="BD506" s="180"/>
      <c r="BE506" s="180"/>
      <c r="BF506" s="180"/>
      <c r="BG506" s="180"/>
      <c r="BH506" s="180"/>
      <c r="BI506" s="180"/>
      <c r="BJ506" s="180"/>
      <c r="BK506" s="180"/>
      <c r="BL506" s="180"/>
      <c r="BM506" s="180"/>
      <c r="BN506" s="180"/>
      <c r="BO506" s="180"/>
      <c r="BP506" s="180"/>
      <c r="BQ506" s="180"/>
      <c r="BR506" s="180"/>
      <c r="BS506" s="180"/>
      <c r="BT506" s="180"/>
      <c r="BU506" s="180"/>
      <c r="BV506" s="180"/>
      <c r="BW506" s="180"/>
      <c r="BX506" s="180"/>
      <c r="BY506" s="180"/>
      <c r="BZ506" s="180"/>
      <c r="CA506" s="180"/>
      <c r="CB506" s="180"/>
      <c r="CC506" s="180"/>
      <c r="CD506" s="180"/>
      <c r="CE506" s="180"/>
      <c r="CF506" s="180"/>
      <c r="CG506" s="180"/>
      <c r="CH506" s="180"/>
      <c r="CI506" s="180"/>
      <c r="CJ506" s="180"/>
      <c r="CK506" s="180"/>
      <c r="CL506" s="180"/>
      <c r="CM506" s="180"/>
      <c r="CN506" s="180"/>
      <c r="CO506" s="180"/>
      <c r="CP506" s="180"/>
      <c r="CQ506" s="180"/>
      <c r="CR506" s="180"/>
      <c r="CS506" s="180"/>
      <c r="CT506" s="180"/>
      <c r="CU506" s="180"/>
      <c r="CV506" s="180"/>
      <c r="CW506" s="180"/>
      <c r="CX506" s="180"/>
      <c r="CY506" s="180"/>
      <c r="CZ506" s="180"/>
    </row>
    <row r="507" spans="1:104" x14ac:dyDescent="0.45">
      <c r="A507" s="180" t="s">
        <v>3</v>
      </c>
      <c r="B507" s="73">
        <v>1</v>
      </c>
      <c r="C507" s="73"/>
      <c r="D507" s="180" t="s">
        <v>454</v>
      </c>
      <c r="E507" s="39">
        <v>43599</v>
      </c>
      <c r="F507" s="179">
        <v>0.5395833333333333</v>
      </c>
      <c r="G507" s="180">
        <v>1</v>
      </c>
      <c r="H507" s="180"/>
      <c r="I507" s="180"/>
      <c r="J507" s="180"/>
      <c r="K507" s="180"/>
      <c r="L507" s="180"/>
      <c r="M507" s="180"/>
      <c r="N507" s="180"/>
      <c r="O507" s="180"/>
      <c r="P507" s="180"/>
      <c r="AS507" s="180"/>
      <c r="AT507" s="180"/>
      <c r="AU507" s="180"/>
      <c r="AV507" s="180"/>
      <c r="AW507" s="180"/>
      <c r="AX507" s="180"/>
      <c r="AY507" s="180"/>
      <c r="AZ507" s="180"/>
      <c r="BA507" s="180"/>
      <c r="BB507" s="180"/>
      <c r="BC507" s="180"/>
      <c r="BD507" s="180"/>
      <c r="BE507" s="180"/>
      <c r="BF507" s="180"/>
      <c r="BG507" s="180"/>
      <c r="BH507" s="180"/>
      <c r="BI507" s="180"/>
      <c r="BJ507" s="180"/>
      <c r="BK507" s="180"/>
      <c r="BL507" s="180"/>
      <c r="BM507" s="180"/>
      <c r="BN507" s="180"/>
      <c r="BO507" s="180"/>
      <c r="BP507" s="180"/>
      <c r="BQ507" s="180"/>
      <c r="BR507" s="180"/>
      <c r="BS507" s="180"/>
      <c r="BT507" s="180"/>
      <c r="BU507" s="180"/>
      <c r="BV507" s="180"/>
      <c r="BW507" s="180"/>
      <c r="BX507" s="180"/>
      <c r="BY507" s="180"/>
      <c r="BZ507" s="180"/>
      <c r="CA507" s="180"/>
      <c r="CB507" s="180"/>
      <c r="CC507" s="180"/>
      <c r="CD507" s="180"/>
      <c r="CE507" s="180"/>
      <c r="CF507" s="180"/>
      <c r="CG507" s="180"/>
      <c r="CH507" s="180"/>
      <c r="CI507" s="180"/>
      <c r="CJ507" s="180"/>
      <c r="CK507" s="180"/>
      <c r="CL507" s="180"/>
      <c r="CM507" s="180"/>
      <c r="CN507" s="180"/>
      <c r="CO507" s="180"/>
      <c r="CP507" s="180"/>
      <c r="CQ507" s="180"/>
      <c r="CR507" s="180"/>
      <c r="CS507" s="180"/>
      <c r="CT507" s="180"/>
      <c r="CU507" s="180"/>
      <c r="CV507" s="180"/>
      <c r="CW507" s="180"/>
      <c r="CX507" s="180"/>
      <c r="CY507" s="180"/>
      <c r="CZ507" s="180"/>
    </row>
    <row r="508" spans="1:104" x14ac:dyDescent="0.45">
      <c r="A508" s="180" t="s">
        <v>3</v>
      </c>
      <c r="B508" s="73">
        <v>3</v>
      </c>
      <c r="C508" s="73">
        <v>3</v>
      </c>
      <c r="D508" s="180" t="s">
        <v>296</v>
      </c>
      <c r="E508" s="39">
        <v>43599</v>
      </c>
      <c r="F508" s="179">
        <v>0.3743055555555555</v>
      </c>
      <c r="G508" s="180">
        <v>2</v>
      </c>
      <c r="H508" s="180"/>
      <c r="I508" s="180"/>
      <c r="J508" s="180"/>
      <c r="K508" s="180"/>
      <c r="L508" s="180"/>
      <c r="M508" s="180"/>
      <c r="N508" s="180"/>
      <c r="O508" s="180"/>
      <c r="P508" s="180"/>
      <c r="AS508" s="180"/>
      <c r="AT508" s="180"/>
      <c r="AU508" s="180"/>
      <c r="AV508" s="180"/>
      <c r="AW508" s="180"/>
      <c r="AX508" s="180"/>
      <c r="AY508" s="180"/>
      <c r="AZ508" s="180"/>
      <c r="BA508" s="180"/>
      <c r="BB508" s="180"/>
      <c r="BC508" s="180"/>
      <c r="BD508" s="180"/>
      <c r="BE508" s="180"/>
      <c r="BF508" s="180"/>
      <c r="BG508" s="180"/>
      <c r="BH508" s="180"/>
      <c r="BI508" s="180"/>
      <c r="BJ508" s="180"/>
      <c r="BK508" s="180"/>
      <c r="BL508" s="180"/>
      <c r="BM508" s="180"/>
      <c r="BN508" s="180"/>
      <c r="BO508" s="180"/>
      <c r="BP508" s="180"/>
      <c r="BQ508" s="180"/>
      <c r="BR508" s="180"/>
      <c r="BS508" s="180"/>
      <c r="BT508" s="180"/>
      <c r="BU508" s="180"/>
      <c r="BV508" s="180"/>
      <c r="BW508" s="180"/>
      <c r="BX508" s="180"/>
      <c r="BY508" s="180"/>
      <c r="BZ508" s="180"/>
      <c r="CA508" s="180"/>
      <c r="CB508" s="180"/>
      <c r="CC508" s="180"/>
      <c r="CD508" s="180"/>
      <c r="CE508" s="180"/>
      <c r="CF508" s="180"/>
      <c r="CG508" s="180"/>
      <c r="CH508" s="180"/>
      <c r="CI508" s="180"/>
      <c r="CJ508" s="180"/>
      <c r="CK508" s="180"/>
      <c r="CL508" s="180"/>
      <c r="CM508" s="180"/>
      <c r="CN508" s="180"/>
      <c r="CO508" s="180"/>
      <c r="CP508" s="180"/>
      <c r="CQ508" s="180"/>
      <c r="CR508" s="180"/>
      <c r="CS508" s="180"/>
      <c r="CT508" s="180"/>
      <c r="CU508" s="180"/>
      <c r="CV508" s="180"/>
      <c r="CW508" s="180"/>
      <c r="CX508" s="180"/>
      <c r="CY508" s="180"/>
      <c r="CZ508" s="180"/>
    </row>
    <row r="509" spans="1:104" x14ac:dyDescent="0.45">
      <c r="A509" s="180" t="s">
        <v>3</v>
      </c>
      <c r="B509" s="73">
        <v>2</v>
      </c>
      <c r="C509" s="73">
        <v>2</v>
      </c>
      <c r="D509" s="180" t="s">
        <v>271</v>
      </c>
      <c r="E509" s="39">
        <v>43599</v>
      </c>
      <c r="F509" s="179">
        <v>0.59305555555555556</v>
      </c>
      <c r="G509" s="180">
        <v>1</v>
      </c>
      <c r="H509" s="180"/>
      <c r="I509" s="180"/>
      <c r="J509" s="180"/>
      <c r="K509" s="180"/>
      <c r="L509" s="180"/>
      <c r="M509" s="180"/>
      <c r="N509" s="180"/>
      <c r="O509" s="180"/>
      <c r="P509" s="180"/>
      <c r="AS509" s="180"/>
      <c r="AT509" s="180"/>
      <c r="AU509" s="180"/>
      <c r="AV509" s="180"/>
      <c r="AW509" s="180"/>
      <c r="AX509" s="180"/>
      <c r="AY509" s="180"/>
      <c r="AZ509" s="180"/>
      <c r="BA509" s="180"/>
      <c r="BB509" s="180"/>
      <c r="BC509" s="180"/>
      <c r="BD509" s="180"/>
      <c r="BE509" s="180"/>
      <c r="BF509" s="180"/>
      <c r="BG509" s="180"/>
      <c r="BH509" s="180"/>
      <c r="BI509" s="180"/>
      <c r="BJ509" s="180"/>
      <c r="BK509" s="180"/>
      <c r="BL509" s="180"/>
      <c r="BM509" s="180"/>
      <c r="BN509" s="180"/>
      <c r="BO509" s="180"/>
      <c r="BP509" s="180"/>
      <c r="BQ509" s="180"/>
      <c r="BR509" s="180"/>
      <c r="BS509" s="180"/>
      <c r="BT509" s="180"/>
      <c r="BU509" s="180"/>
      <c r="BV509" s="180"/>
      <c r="BW509" s="180"/>
      <c r="BX509" s="180"/>
      <c r="BY509" s="180"/>
      <c r="BZ509" s="180"/>
      <c r="CA509" s="180"/>
      <c r="CB509" s="180"/>
      <c r="CC509" s="180"/>
      <c r="CD509" s="180"/>
      <c r="CE509" s="180"/>
      <c r="CF509" s="180"/>
      <c r="CG509" s="180"/>
      <c r="CH509" s="180"/>
      <c r="CI509" s="180"/>
      <c r="CJ509" s="180"/>
      <c r="CK509" s="180"/>
      <c r="CL509" s="180"/>
      <c r="CM509" s="180"/>
      <c r="CN509" s="180"/>
      <c r="CO509" s="180"/>
      <c r="CP509" s="180"/>
      <c r="CQ509" s="180"/>
      <c r="CR509" s="180"/>
      <c r="CS509" s="180"/>
      <c r="CT509" s="180"/>
      <c r="CU509" s="180"/>
      <c r="CV509" s="180"/>
      <c r="CW509" s="180"/>
      <c r="CX509" s="180"/>
      <c r="CY509" s="180"/>
      <c r="CZ509" s="180"/>
    </row>
    <row r="510" spans="1:104" x14ac:dyDescent="0.45">
      <c r="A510" s="180" t="s">
        <v>3</v>
      </c>
      <c r="B510" s="73">
        <v>1</v>
      </c>
      <c r="C510" s="73"/>
      <c r="D510" s="180" t="s">
        <v>271</v>
      </c>
      <c r="E510" s="39">
        <v>43599</v>
      </c>
      <c r="F510" s="179">
        <v>0.42708333333333331</v>
      </c>
      <c r="G510" s="180">
        <v>1</v>
      </c>
      <c r="H510" s="180"/>
      <c r="I510" s="180"/>
      <c r="J510" s="180"/>
      <c r="K510" s="180"/>
      <c r="L510" s="180"/>
      <c r="M510" s="180"/>
      <c r="N510" s="180"/>
      <c r="O510" s="180"/>
      <c r="P510" s="180"/>
      <c r="AS510" s="180"/>
      <c r="AT510" s="180"/>
      <c r="AU510" s="180"/>
      <c r="AV510" s="180"/>
      <c r="AW510" s="180"/>
      <c r="AX510" s="180"/>
      <c r="AY510" s="180"/>
      <c r="AZ510" s="180"/>
      <c r="BA510" s="180"/>
      <c r="BB510" s="180"/>
      <c r="BC510" s="180"/>
      <c r="BD510" s="180"/>
      <c r="BE510" s="180"/>
      <c r="BF510" s="180"/>
      <c r="BG510" s="180"/>
      <c r="BH510" s="180"/>
      <c r="BI510" s="180"/>
      <c r="BJ510" s="180"/>
      <c r="BK510" s="180"/>
      <c r="BL510" s="180"/>
      <c r="BM510" s="180"/>
      <c r="BN510" s="180"/>
      <c r="BO510" s="180"/>
      <c r="BP510" s="180"/>
      <c r="BQ510" s="180"/>
      <c r="BR510" s="180"/>
      <c r="BS510" s="180"/>
      <c r="BT510" s="180"/>
      <c r="BU510" s="180"/>
      <c r="BV510" s="180"/>
      <c r="BW510" s="180"/>
      <c r="BX510" s="180"/>
      <c r="BY510" s="180"/>
      <c r="BZ510" s="180"/>
      <c r="CA510" s="180"/>
      <c r="CB510" s="180"/>
      <c r="CC510" s="180"/>
      <c r="CD510" s="180"/>
      <c r="CE510" s="180"/>
      <c r="CF510" s="180"/>
      <c r="CG510" s="180"/>
      <c r="CH510" s="180"/>
      <c r="CI510" s="180"/>
      <c r="CJ510" s="180"/>
      <c r="CK510" s="180"/>
      <c r="CL510" s="180"/>
      <c r="CM510" s="180"/>
      <c r="CN510" s="180"/>
      <c r="CO510" s="180"/>
      <c r="CP510" s="180"/>
      <c r="CQ510" s="180"/>
      <c r="CR510" s="180"/>
      <c r="CS510" s="180"/>
      <c r="CT510" s="180"/>
      <c r="CU510" s="180"/>
      <c r="CV510" s="180"/>
      <c r="CW510" s="180"/>
      <c r="CX510" s="180"/>
      <c r="CY510" s="180"/>
      <c r="CZ510" s="180"/>
    </row>
    <row r="511" spans="1:104" x14ac:dyDescent="0.45">
      <c r="A511" s="180" t="s">
        <v>3</v>
      </c>
      <c r="B511" s="73">
        <v>3</v>
      </c>
      <c r="C511" s="73">
        <v>3</v>
      </c>
      <c r="D511" s="180" t="s">
        <v>271</v>
      </c>
      <c r="E511" s="39">
        <v>43600</v>
      </c>
      <c r="F511" s="179">
        <v>0.71250000000000002</v>
      </c>
      <c r="G511" s="180">
        <v>1</v>
      </c>
      <c r="H511" s="180"/>
      <c r="I511" s="180"/>
      <c r="J511" s="180"/>
      <c r="K511" s="180"/>
      <c r="L511" s="180"/>
      <c r="M511" s="180"/>
      <c r="N511" s="180"/>
      <c r="O511" s="180"/>
      <c r="P511" s="180"/>
      <c r="AS511" s="180"/>
      <c r="AT511" s="180"/>
      <c r="AU511" s="180"/>
      <c r="AV511" s="180"/>
      <c r="AW511" s="180"/>
      <c r="AX511" s="180"/>
      <c r="AY511" s="180"/>
      <c r="AZ511" s="180"/>
      <c r="BA511" s="180"/>
      <c r="BB511" s="180"/>
      <c r="BC511" s="180"/>
      <c r="BD511" s="180"/>
      <c r="BE511" s="180"/>
      <c r="BF511" s="180"/>
      <c r="BG511" s="180"/>
      <c r="BH511" s="180"/>
      <c r="BI511" s="180"/>
      <c r="BJ511" s="180"/>
      <c r="BK511" s="180"/>
      <c r="BL511" s="180"/>
      <c r="BM511" s="180"/>
      <c r="BN511" s="180"/>
      <c r="BO511" s="180"/>
      <c r="BP511" s="180"/>
      <c r="BQ511" s="180"/>
      <c r="BR511" s="180"/>
      <c r="BS511" s="180"/>
      <c r="BT511" s="180"/>
      <c r="BU511" s="180"/>
      <c r="BV511" s="180"/>
      <c r="BW511" s="180"/>
      <c r="BX511" s="180"/>
      <c r="BY511" s="180"/>
      <c r="BZ511" s="180"/>
      <c r="CA511" s="180"/>
      <c r="CB511" s="180"/>
      <c r="CC511" s="180"/>
      <c r="CD511" s="180"/>
      <c r="CE511" s="180"/>
      <c r="CF511" s="180"/>
      <c r="CG511" s="180"/>
      <c r="CH511" s="180"/>
      <c r="CI511" s="180"/>
      <c r="CJ511" s="180"/>
      <c r="CK511" s="180"/>
      <c r="CL511" s="180"/>
      <c r="CM511" s="180"/>
      <c r="CN511" s="180"/>
      <c r="CO511" s="180"/>
      <c r="CP511" s="180"/>
      <c r="CQ511" s="180"/>
      <c r="CR511" s="180"/>
      <c r="CS511" s="180"/>
      <c r="CT511" s="180"/>
      <c r="CU511" s="180"/>
      <c r="CV511" s="180"/>
      <c r="CW511" s="180"/>
      <c r="CX511" s="180"/>
      <c r="CY511" s="180"/>
      <c r="CZ511" s="180"/>
    </row>
    <row r="512" spans="1:104" x14ac:dyDescent="0.45">
      <c r="A512" s="180" t="s">
        <v>3</v>
      </c>
      <c r="B512" s="73">
        <v>1</v>
      </c>
      <c r="C512" s="73"/>
      <c r="D512" s="180" t="s">
        <v>455</v>
      </c>
      <c r="E512" s="39">
        <v>43600</v>
      </c>
      <c r="F512" s="179">
        <v>0.41666666666666669</v>
      </c>
      <c r="G512" s="180">
        <v>4</v>
      </c>
      <c r="H512" s="180"/>
      <c r="I512" s="180"/>
      <c r="J512" s="180"/>
      <c r="K512" s="180"/>
      <c r="L512" s="180"/>
      <c r="M512" s="180"/>
      <c r="N512" s="180"/>
      <c r="O512" s="180"/>
      <c r="P512" s="180"/>
      <c r="AS512" s="180"/>
      <c r="AT512" s="180"/>
      <c r="AU512" s="180"/>
      <c r="AV512" s="180"/>
      <c r="AW512" s="180"/>
      <c r="AX512" s="180"/>
      <c r="AY512" s="180"/>
      <c r="AZ512" s="180"/>
      <c r="BA512" s="180"/>
      <c r="BB512" s="180"/>
      <c r="BC512" s="180"/>
      <c r="BD512" s="180"/>
      <c r="BE512" s="180"/>
      <c r="BF512" s="180"/>
      <c r="BG512" s="180"/>
      <c r="BH512" s="180"/>
      <c r="BI512" s="180"/>
      <c r="BJ512" s="180"/>
      <c r="BK512" s="180"/>
      <c r="BL512" s="180"/>
      <c r="BM512" s="180"/>
      <c r="BN512" s="180"/>
      <c r="BO512" s="180"/>
      <c r="BP512" s="180"/>
      <c r="BQ512" s="180"/>
      <c r="BR512" s="180"/>
      <c r="BS512" s="180"/>
      <c r="BT512" s="180"/>
      <c r="BU512" s="180"/>
      <c r="BV512" s="180"/>
      <c r="BW512" s="180"/>
      <c r="BX512" s="180"/>
      <c r="BY512" s="180"/>
      <c r="BZ512" s="180"/>
      <c r="CA512" s="180"/>
      <c r="CB512" s="180"/>
      <c r="CC512" s="180"/>
      <c r="CD512" s="180"/>
      <c r="CE512" s="180"/>
      <c r="CF512" s="180"/>
      <c r="CG512" s="180"/>
      <c r="CH512" s="180"/>
      <c r="CI512" s="180"/>
      <c r="CJ512" s="180"/>
      <c r="CK512" s="180"/>
      <c r="CL512" s="180"/>
      <c r="CM512" s="180"/>
      <c r="CN512" s="180"/>
      <c r="CO512" s="180"/>
      <c r="CP512" s="180"/>
      <c r="CQ512" s="180"/>
      <c r="CR512" s="180"/>
      <c r="CS512" s="180"/>
      <c r="CT512" s="180"/>
      <c r="CU512" s="180"/>
      <c r="CV512" s="180"/>
      <c r="CW512" s="180"/>
      <c r="CX512" s="180"/>
      <c r="CY512" s="180"/>
      <c r="CZ512" s="180"/>
    </row>
    <row r="513" spans="1:104" x14ac:dyDescent="0.45">
      <c r="A513" s="180" t="s">
        <v>3</v>
      </c>
      <c r="B513" s="73">
        <v>1</v>
      </c>
      <c r="C513" s="73">
        <v>1</v>
      </c>
      <c r="D513" s="180" t="s">
        <v>271</v>
      </c>
      <c r="E513" s="39">
        <v>43601</v>
      </c>
      <c r="F513" s="179">
        <v>0.45833333333333331</v>
      </c>
      <c r="G513" s="180">
        <v>1</v>
      </c>
      <c r="H513" s="180"/>
      <c r="I513" s="180"/>
      <c r="J513" s="180"/>
      <c r="K513" s="180"/>
      <c r="L513" s="180"/>
      <c r="M513" s="180"/>
      <c r="N513" s="180"/>
      <c r="O513" s="180"/>
      <c r="P513" s="180"/>
      <c r="AS513" s="180"/>
      <c r="AT513" s="180"/>
      <c r="AU513" s="180"/>
      <c r="AV513" s="180"/>
      <c r="AW513" s="180"/>
      <c r="AX513" s="180"/>
      <c r="AY513" s="180"/>
      <c r="AZ513" s="180"/>
      <c r="BA513" s="180"/>
      <c r="BB513" s="180"/>
      <c r="BC513" s="180"/>
      <c r="BD513" s="180"/>
      <c r="BE513" s="180"/>
      <c r="BF513" s="180"/>
      <c r="BG513" s="180"/>
      <c r="BH513" s="180"/>
      <c r="BI513" s="180"/>
      <c r="BJ513" s="180"/>
      <c r="BK513" s="180"/>
      <c r="BL513" s="180"/>
      <c r="BM513" s="180"/>
      <c r="BN513" s="180"/>
      <c r="BO513" s="180"/>
      <c r="BP513" s="180"/>
      <c r="BQ513" s="180"/>
      <c r="BR513" s="180"/>
      <c r="BS513" s="180"/>
      <c r="BT513" s="180"/>
      <c r="BU513" s="180"/>
      <c r="BV513" s="180"/>
      <c r="BW513" s="180"/>
      <c r="BX513" s="180"/>
      <c r="BY513" s="180"/>
      <c r="BZ513" s="180"/>
      <c r="CA513" s="180"/>
      <c r="CB513" s="180"/>
      <c r="CC513" s="180"/>
      <c r="CD513" s="180"/>
      <c r="CE513" s="180"/>
      <c r="CF513" s="180"/>
      <c r="CG513" s="180"/>
      <c r="CH513" s="180"/>
      <c r="CI513" s="180"/>
      <c r="CJ513" s="180"/>
      <c r="CK513" s="180"/>
      <c r="CL513" s="180"/>
      <c r="CM513" s="180"/>
      <c r="CN513" s="180"/>
      <c r="CO513" s="180"/>
      <c r="CP513" s="180"/>
      <c r="CQ513" s="180"/>
      <c r="CR513" s="180"/>
      <c r="CS513" s="180"/>
      <c r="CT513" s="180"/>
      <c r="CU513" s="180"/>
      <c r="CV513" s="180"/>
      <c r="CW513" s="180"/>
      <c r="CX513" s="180"/>
      <c r="CY513" s="180"/>
      <c r="CZ513" s="180"/>
    </row>
    <row r="514" spans="1:104" x14ac:dyDescent="0.45">
      <c r="A514" s="180" t="s">
        <v>3</v>
      </c>
      <c r="B514" s="73">
        <v>1</v>
      </c>
      <c r="C514" s="73"/>
      <c r="D514" s="180" t="s">
        <v>271</v>
      </c>
      <c r="E514" s="39">
        <v>43601</v>
      </c>
      <c r="F514" s="179">
        <v>0.54027777777777775</v>
      </c>
      <c r="G514" s="180">
        <v>1</v>
      </c>
      <c r="H514" s="180"/>
      <c r="I514" s="180"/>
      <c r="J514" s="180"/>
      <c r="K514" s="180"/>
      <c r="L514" s="180"/>
      <c r="M514" s="180"/>
      <c r="N514" s="180"/>
      <c r="O514" s="180"/>
      <c r="P514" s="180"/>
      <c r="AS514" s="180"/>
      <c r="AT514" s="180"/>
      <c r="AU514" s="180"/>
      <c r="AV514" s="180"/>
      <c r="AW514" s="180"/>
      <c r="AX514" s="180"/>
      <c r="AY514" s="180"/>
      <c r="AZ514" s="180"/>
      <c r="BA514" s="180"/>
      <c r="BB514" s="180"/>
      <c r="BC514" s="180"/>
      <c r="BD514" s="180"/>
      <c r="BE514" s="180"/>
      <c r="BF514" s="180"/>
      <c r="BG514" s="180"/>
      <c r="BH514" s="180"/>
      <c r="BI514" s="180"/>
      <c r="BJ514" s="180"/>
      <c r="BK514" s="180"/>
      <c r="BL514" s="180"/>
      <c r="BM514" s="180"/>
      <c r="BN514" s="180"/>
      <c r="BO514" s="180"/>
      <c r="BP514" s="180"/>
      <c r="BQ514" s="180"/>
      <c r="BR514" s="180"/>
      <c r="BS514" s="180"/>
      <c r="BT514" s="180"/>
      <c r="BU514" s="180"/>
      <c r="BV514" s="180"/>
      <c r="BW514" s="180"/>
      <c r="BX514" s="180"/>
      <c r="BY514" s="180"/>
      <c r="BZ514" s="180"/>
      <c r="CA514" s="180"/>
      <c r="CB514" s="180"/>
      <c r="CC514" s="180"/>
      <c r="CD514" s="180"/>
      <c r="CE514" s="180"/>
      <c r="CF514" s="180"/>
      <c r="CG514" s="180"/>
      <c r="CH514" s="180"/>
      <c r="CI514" s="180"/>
      <c r="CJ514" s="180"/>
      <c r="CK514" s="180"/>
      <c r="CL514" s="180"/>
      <c r="CM514" s="180"/>
      <c r="CN514" s="180"/>
      <c r="CO514" s="180"/>
      <c r="CP514" s="180"/>
      <c r="CQ514" s="180"/>
      <c r="CR514" s="180"/>
      <c r="CS514" s="180"/>
      <c r="CT514" s="180"/>
      <c r="CU514" s="180"/>
      <c r="CV514" s="180"/>
      <c r="CW514" s="180"/>
      <c r="CX514" s="180"/>
      <c r="CY514" s="180"/>
      <c r="CZ514" s="180"/>
    </row>
    <row r="515" spans="1:104" x14ac:dyDescent="0.45">
      <c r="A515" s="180" t="s">
        <v>3</v>
      </c>
      <c r="B515" s="73">
        <v>2</v>
      </c>
      <c r="C515" s="73"/>
      <c r="D515" s="180" t="s">
        <v>456</v>
      </c>
      <c r="E515" s="39">
        <v>43601</v>
      </c>
      <c r="F515" s="179">
        <v>0.7597222222222223</v>
      </c>
      <c r="G515" s="180">
        <v>2</v>
      </c>
      <c r="H515" s="180" t="s">
        <v>457</v>
      </c>
      <c r="I515" s="180"/>
      <c r="J515" s="180"/>
      <c r="K515" s="180"/>
      <c r="L515" s="180"/>
      <c r="M515" s="180"/>
      <c r="N515" s="180"/>
      <c r="O515" s="180"/>
      <c r="P515" s="180"/>
      <c r="AS515" s="180"/>
      <c r="AT515" s="180"/>
      <c r="AU515" s="180"/>
      <c r="AV515" s="180"/>
      <c r="AW515" s="180"/>
      <c r="AX515" s="180"/>
      <c r="AY515" s="180"/>
      <c r="AZ515" s="180"/>
      <c r="BA515" s="180"/>
      <c r="BB515" s="180"/>
      <c r="BC515" s="180"/>
      <c r="BD515" s="180"/>
      <c r="BE515" s="180"/>
      <c r="BF515" s="180"/>
      <c r="BG515" s="180"/>
      <c r="BH515" s="180"/>
      <c r="BI515" s="180"/>
      <c r="BJ515" s="180"/>
      <c r="BK515" s="180"/>
      <c r="BL515" s="180"/>
      <c r="BM515" s="180"/>
      <c r="BN515" s="180"/>
      <c r="BO515" s="180"/>
      <c r="BP515" s="180"/>
      <c r="BQ515" s="180"/>
      <c r="BR515" s="180"/>
      <c r="BS515" s="180"/>
      <c r="BT515" s="180"/>
      <c r="BU515" s="180"/>
      <c r="BV515" s="180"/>
      <c r="BW515" s="180"/>
      <c r="BX515" s="180"/>
      <c r="BY515" s="180"/>
      <c r="BZ515" s="180"/>
      <c r="CA515" s="180"/>
      <c r="CB515" s="180"/>
      <c r="CC515" s="180"/>
      <c r="CD515" s="180"/>
      <c r="CE515" s="180"/>
      <c r="CF515" s="180"/>
      <c r="CG515" s="180"/>
      <c r="CH515" s="180"/>
      <c r="CI515" s="180"/>
      <c r="CJ515" s="180"/>
      <c r="CK515" s="180"/>
      <c r="CL515" s="180"/>
      <c r="CM515" s="180"/>
      <c r="CN515" s="180"/>
      <c r="CO515" s="180"/>
      <c r="CP515" s="180"/>
      <c r="CQ515" s="180"/>
      <c r="CR515" s="180"/>
      <c r="CS515" s="180"/>
      <c r="CT515" s="180"/>
      <c r="CU515" s="180"/>
      <c r="CV515" s="180"/>
      <c r="CW515" s="180"/>
      <c r="CX515" s="180"/>
      <c r="CY515" s="180"/>
      <c r="CZ515" s="180"/>
    </row>
    <row r="516" spans="1:104" x14ac:dyDescent="0.45">
      <c r="A516" s="180" t="s">
        <v>3</v>
      </c>
      <c r="B516" s="73">
        <v>1</v>
      </c>
      <c r="C516" s="73">
        <v>1</v>
      </c>
      <c r="D516" s="180" t="s">
        <v>296</v>
      </c>
      <c r="E516" s="39">
        <v>43603</v>
      </c>
      <c r="F516" s="179">
        <v>0.77847222222222223</v>
      </c>
      <c r="G516" s="180">
        <v>1</v>
      </c>
      <c r="H516" s="180"/>
      <c r="I516" s="180"/>
      <c r="J516" s="180"/>
      <c r="K516" s="180"/>
      <c r="L516" s="180"/>
      <c r="M516" s="180"/>
      <c r="N516" s="180"/>
      <c r="O516" s="180"/>
      <c r="P516" s="180"/>
      <c r="AS516" s="180"/>
      <c r="AT516" s="180"/>
      <c r="AU516" s="180"/>
      <c r="AV516" s="180"/>
      <c r="AW516" s="180"/>
      <c r="AX516" s="180"/>
      <c r="AY516" s="180"/>
      <c r="AZ516" s="180"/>
      <c r="BA516" s="180"/>
      <c r="BB516" s="180"/>
      <c r="BC516" s="180"/>
      <c r="BD516" s="180"/>
      <c r="BE516" s="180"/>
      <c r="BF516" s="180"/>
      <c r="BG516" s="180"/>
      <c r="BH516" s="180"/>
      <c r="BI516" s="180"/>
      <c r="BJ516" s="180"/>
      <c r="BK516" s="180"/>
      <c r="BL516" s="180"/>
      <c r="BM516" s="180"/>
      <c r="BN516" s="180"/>
      <c r="BO516" s="180"/>
      <c r="BP516" s="180"/>
      <c r="BQ516" s="180"/>
      <c r="BR516" s="180"/>
      <c r="BS516" s="180"/>
      <c r="BT516" s="180"/>
      <c r="BU516" s="180"/>
      <c r="BV516" s="180"/>
      <c r="BW516" s="180"/>
      <c r="BX516" s="180"/>
      <c r="BY516" s="180"/>
      <c r="BZ516" s="180"/>
      <c r="CA516" s="180"/>
      <c r="CB516" s="180"/>
      <c r="CC516" s="180"/>
      <c r="CD516" s="180"/>
      <c r="CE516" s="180"/>
      <c r="CF516" s="180"/>
      <c r="CG516" s="180"/>
      <c r="CH516" s="180"/>
      <c r="CI516" s="180"/>
      <c r="CJ516" s="180"/>
      <c r="CK516" s="180"/>
      <c r="CL516" s="180"/>
      <c r="CM516" s="180"/>
      <c r="CN516" s="180"/>
      <c r="CO516" s="180"/>
      <c r="CP516" s="180"/>
      <c r="CQ516" s="180"/>
      <c r="CR516" s="180"/>
      <c r="CS516" s="180"/>
      <c r="CT516" s="180"/>
      <c r="CU516" s="180"/>
      <c r="CV516" s="180"/>
      <c r="CW516" s="180"/>
      <c r="CX516" s="180"/>
      <c r="CY516" s="180"/>
      <c r="CZ516" s="180"/>
    </row>
    <row r="517" spans="1:104" x14ac:dyDescent="0.45">
      <c r="A517" s="180" t="s">
        <v>3</v>
      </c>
      <c r="B517" s="73">
        <v>1</v>
      </c>
      <c r="C517" s="73">
        <v>1</v>
      </c>
      <c r="D517" s="180" t="s">
        <v>271</v>
      </c>
      <c r="E517" s="39">
        <v>43603</v>
      </c>
      <c r="F517" s="179">
        <v>0.70833333333333337</v>
      </c>
      <c r="G517" s="180">
        <v>3</v>
      </c>
      <c r="H517" s="180" t="s">
        <v>272</v>
      </c>
      <c r="I517" s="180"/>
      <c r="J517" s="180"/>
      <c r="K517" s="180"/>
      <c r="L517" s="180"/>
      <c r="M517" s="180"/>
      <c r="N517" s="180"/>
      <c r="O517" s="180"/>
      <c r="P517" s="180"/>
      <c r="AS517" s="180"/>
      <c r="AT517" s="180"/>
      <c r="AU517" s="180"/>
      <c r="AV517" s="180"/>
      <c r="AW517" s="180"/>
      <c r="AX517" s="180"/>
      <c r="AY517" s="180"/>
      <c r="AZ517" s="180"/>
      <c r="BA517" s="180"/>
      <c r="BB517" s="180"/>
      <c r="BC517" s="180"/>
      <c r="BD517" s="180"/>
      <c r="BE517" s="180"/>
      <c r="BF517" s="180"/>
      <c r="BG517" s="180"/>
      <c r="BH517" s="180"/>
      <c r="BI517" s="180"/>
      <c r="BJ517" s="180"/>
      <c r="BK517" s="180"/>
      <c r="BL517" s="180"/>
      <c r="BM517" s="180"/>
      <c r="BN517" s="180"/>
      <c r="BO517" s="180"/>
      <c r="BP517" s="180"/>
      <c r="BQ517" s="180"/>
      <c r="BR517" s="180"/>
      <c r="BS517" s="180"/>
      <c r="BT517" s="180"/>
      <c r="BU517" s="180"/>
      <c r="BV517" s="180"/>
      <c r="BW517" s="180"/>
      <c r="BX517" s="180"/>
      <c r="BY517" s="180"/>
      <c r="BZ517" s="180"/>
      <c r="CA517" s="180"/>
      <c r="CB517" s="180"/>
      <c r="CC517" s="180"/>
      <c r="CD517" s="180"/>
      <c r="CE517" s="180"/>
      <c r="CF517" s="180"/>
      <c r="CG517" s="180"/>
      <c r="CH517" s="180"/>
      <c r="CI517" s="180"/>
      <c r="CJ517" s="180"/>
      <c r="CK517" s="180"/>
      <c r="CL517" s="180"/>
      <c r="CM517" s="180"/>
      <c r="CN517" s="180"/>
      <c r="CO517" s="180"/>
      <c r="CP517" s="180"/>
      <c r="CQ517" s="180"/>
      <c r="CR517" s="180"/>
      <c r="CS517" s="180"/>
      <c r="CT517" s="180"/>
      <c r="CU517" s="180"/>
      <c r="CV517" s="180"/>
      <c r="CW517" s="180"/>
      <c r="CX517" s="180"/>
      <c r="CY517" s="180"/>
      <c r="CZ517" s="180"/>
    </row>
    <row r="518" spans="1:104" x14ac:dyDescent="0.45">
      <c r="A518" s="180" t="s">
        <v>3</v>
      </c>
      <c r="B518" s="73">
        <v>1</v>
      </c>
      <c r="C518" s="73">
        <v>1</v>
      </c>
      <c r="D518" s="180" t="s">
        <v>271</v>
      </c>
      <c r="E518" s="39">
        <v>43604</v>
      </c>
      <c r="F518" s="179">
        <v>0.7104166666666667</v>
      </c>
      <c r="G518" s="180">
        <v>1</v>
      </c>
      <c r="H518" s="180"/>
      <c r="I518" s="180"/>
      <c r="J518" s="180"/>
      <c r="K518" s="180"/>
      <c r="L518" s="180"/>
      <c r="M518" s="180"/>
      <c r="N518" s="180"/>
      <c r="O518" s="180"/>
      <c r="P518" s="180"/>
      <c r="AS518" s="180"/>
      <c r="AT518" s="180"/>
      <c r="AU518" s="180"/>
      <c r="AV518" s="180"/>
      <c r="AW518" s="180"/>
      <c r="AX518" s="180"/>
      <c r="AY518" s="180"/>
      <c r="AZ518" s="180"/>
      <c r="BA518" s="180"/>
      <c r="BB518" s="180"/>
      <c r="BC518" s="180"/>
      <c r="BD518" s="180"/>
      <c r="BE518" s="180"/>
      <c r="BF518" s="180"/>
      <c r="BG518" s="180"/>
      <c r="BH518" s="180"/>
      <c r="BI518" s="180"/>
      <c r="BJ518" s="180"/>
      <c r="BK518" s="180"/>
      <c r="BL518" s="180"/>
      <c r="BM518" s="180"/>
      <c r="BN518" s="180"/>
      <c r="BO518" s="180"/>
      <c r="BP518" s="180"/>
      <c r="BQ518" s="180"/>
      <c r="BR518" s="180"/>
      <c r="BS518" s="180"/>
      <c r="BT518" s="180"/>
      <c r="BU518" s="180"/>
      <c r="BV518" s="180"/>
      <c r="BW518" s="180"/>
      <c r="BX518" s="180"/>
      <c r="BY518" s="180"/>
      <c r="BZ518" s="180"/>
      <c r="CA518" s="180"/>
      <c r="CB518" s="180"/>
      <c r="CC518" s="180"/>
      <c r="CD518" s="180"/>
      <c r="CE518" s="180"/>
      <c r="CF518" s="180"/>
      <c r="CG518" s="180"/>
      <c r="CH518" s="180"/>
      <c r="CI518" s="180"/>
      <c r="CJ518" s="180"/>
      <c r="CK518" s="180"/>
      <c r="CL518" s="180"/>
      <c r="CM518" s="180"/>
      <c r="CN518" s="180"/>
      <c r="CO518" s="180"/>
      <c r="CP518" s="180"/>
      <c r="CQ518" s="180"/>
      <c r="CR518" s="180"/>
      <c r="CS518" s="180"/>
      <c r="CT518" s="180"/>
      <c r="CU518" s="180"/>
      <c r="CV518" s="180"/>
      <c r="CW518" s="180"/>
      <c r="CX518" s="180"/>
      <c r="CY518" s="180"/>
      <c r="CZ518" s="180"/>
    </row>
    <row r="519" spans="1:104" x14ac:dyDescent="0.45">
      <c r="A519" s="180" t="s">
        <v>3</v>
      </c>
      <c r="B519" s="73">
        <v>2</v>
      </c>
      <c r="C519" s="73">
        <v>2</v>
      </c>
      <c r="D519" s="180" t="s">
        <v>271</v>
      </c>
      <c r="E519" s="39">
        <v>43605</v>
      </c>
      <c r="F519" s="179">
        <v>0.49444444444444446</v>
      </c>
      <c r="G519" s="180">
        <v>1</v>
      </c>
      <c r="H519" s="180"/>
      <c r="I519" s="180"/>
      <c r="K519" s="180"/>
      <c r="L519" s="180"/>
      <c r="M519" s="180"/>
      <c r="N519" s="180"/>
      <c r="O519" s="180"/>
      <c r="P519" s="180"/>
      <c r="AS519" s="180"/>
      <c r="AT519" s="180"/>
      <c r="AU519" s="180"/>
      <c r="AV519" s="180"/>
      <c r="AW519" s="180"/>
      <c r="AX519" s="180"/>
      <c r="AY519" s="180"/>
      <c r="AZ519" s="180"/>
      <c r="BA519" s="180"/>
      <c r="BB519" s="180"/>
      <c r="BC519" s="180"/>
      <c r="BD519" s="180"/>
      <c r="BE519" s="180"/>
      <c r="BF519" s="180"/>
      <c r="BG519" s="180"/>
      <c r="BH519" s="180"/>
      <c r="BI519" s="180"/>
      <c r="BJ519" s="180"/>
      <c r="BK519" s="180"/>
      <c r="BL519" s="180"/>
      <c r="BM519" s="180"/>
      <c r="BN519" s="180"/>
      <c r="BO519" s="180"/>
      <c r="BP519" s="180"/>
      <c r="BQ519" s="180"/>
      <c r="BR519" s="180"/>
      <c r="BS519" s="180"/>
      <c r="BT519" s="180"/>
      <c r="BU519" s="180"/>
      <c r="BV519" s="180"/>
      <c r="BW519" s="180"/>
      <c r="BX519" s="180"/>
      <c r="BY519" s="180"/>
      <c r="BZ519" s="180"/>
      <c r="CA519" s="180"/>
      <c r="CB519" s="180"/>
      <c r="CC519" s="180"/>
      <c r="CD519" s="180"/>
      <c r="CE519" s="180"/>
      <c r="CF519" s="180"/>
      <c r="CG519" s="180"/>
      <c r="CH519" s="180"/>
      <c r="CI519" s="180"/>
      <c r="CJ519" s="180"/>
      <c r="CK519" s="180"/>
      <c r="CL519" s="180"/>
      <c r="CM519" s="180"/>
      <c r="CN519" s="180"/>
      <c r="CO519" s="180"/>
      <c r="CP519" s="180"/>
      <c r="CQ519" s="180"/>
      <c r="CR519" s="180"/>
      <c r="CS519" s="180"/>
      <c r="CT519" s="180"/>
      <c r="CU519" s="180"/>
      <c r="CV519" s="180"/>
      <c r="CW519" s="180"/>
      <c r="CX519" s="180"/>
      <c r="CY519" s="180"/>
      <c r="CZ519" s="180"/>
    </row>
    <row r="520" spans="1:104" x14ac:dyDescent="0.45">
      <c r="A520" s="180" t="s">
        <v>3</v>
      </c>
      <c r="B520" s="73">
        <v>2</v>
      </c>
      <c r="C520" s="73">
        <v>2</v>
      </c>
      <c r="D520" s="180" t="s">
        <v>376</v>
      </c>
      <c r="E520" s="39">
        <v>43607</v>
      </c>
      <c r="F520" s="179">
        <v>0.67708333333333337</v>
      </c>
      <c r="G520" s="180">
        <v>2</v>
      </c>
      <c r="H520" s="180"/>
      <c r="I520" s="180"/>
      <c r="J520" s="180"/>
      <c r="K520" s="180"/>
      <c r="L520" s="180"/>
      <c r="M520" s="180"/>
      <c r="N520" s="180"/>
      <c r="O520" s="180"/>
      <c r="P520" s="180"/>
      <c r="AS520" s="180"/>
      <c r="AT520" s="180"/>
      <c r="AU520" s="180"/>
      <c r="AV520" s="180"/>
      <c r="AW520" s="180"/>
      <c r="AX520" s="180"/>
      <c r="AY520" s="180"/>
      <c r="AZ520" s="180"/>
      <c r="BA520" s="180"/>
      <c r="BB520" s="180"/>
      <c r="BC520" s="180"/>
      <c r="BD520" s="180"/>
      <c r="BE520" s="180"/>
      <c r="BF520" s="180"/>
      <c r="BG520" s="180"/>
      <c r="BH520" s="180"/>
      <c r="BI520" s="180"/>
      <c r="BJ520" s="180"/>
      <c r="BK520" s="180"/>
      <c r="BL520" s="180"/>
      <c r="BM520" s="180"/>
      <c r="BN520" s="180"/>
      <c r="BO520" s="180"/>
      <c r="BP520" s="180"/>
      <c r="BQ520" s="180"/>
      <c r="BR520" s="180"/>
      <c r="BS520" s="180"/>
      <c r="BT520" s="180"/>
      <c r="BU520" s="180"/>
      <c r="BV520" s="180"/>
      <c r="BW520" s="180"/>
      <c r="BX520" s="180"/>
      <c r="BY520" s="180"/>
      <c r="BZ520" s="180"/>
      <c r="CA520" s="180"/>
      <c r="CB520" s="180"/>
      <c r="CC520" s="180"/>
      <c r="CD520" s="180"/>
      <c r="CE520" s="180"/>
      <c r="CF520" s="180"/>
      <c r="CG520" s="180"/>
      <c r="CH520" s="180"/>
      <c r="CI520" s="180"/>
      <c r="CJ520" s="180"/>
      <c r="CK520" s="180"/>
      <c r="CL520" s="180"/>
      <c r="CM520" s="180"/>
      <c r="CN520" s="180"/>
      <c r="CO520" s="180"/>
      <c r="CP520" s="180"/>
      <c r="CQ520" s="180"/>
      <c r="CR520" s="180"/>
      <c r="CS520" s="180"/>
      <c r="CT520" s="180"/>
      <c r="CU520" s="180"/>
      <c r="CV520" s="180"/>
      <c r="CW520" s="180"/>
      <c r="CX520" s="180"/>
      <c r="CY520" s="180"/>
      <c r="CZ520" s="180"/>
    </row>
    <row r="521" spans="1:104" x14ac:dyDescent="0.45">
      <c r="A521" s="180" t="s">
        <v>3</v>
      </c>
      <c r="B521" s="73">
        <v>1</v>
      </c>
      <c r="C521" s="73"/>
      <c r="D521" s="180" t="s">
        <v>271</v>
      </c>
      <c r="E521" s="39">
        <v>43607</v>
      </c>
      <c r="F521" s="179">
        <v>0.5083333333333333</v>
      </c>
      <c r="G521" s="180">
        <v>1</v>
      </c>
      <c r="H521" s="180"/>
      <c r="I521" s="180"/>
      <c r="J521" s="180"/>
      <c r="K521" s="180"/>
      <c r="L521" s="180"/>
      <c r="M521" s="180"/>
      <c r="N521" s="180"/>
      <c r="O521" s="180"/>
      <c r="P521" s="180"/>
      <c r="AS521" s="180"/>
      <c r="AT521" s="180"/>
      <c r="AU521" s="180"/>
      <c r="AV521" s="180"/>
      <c r="AW521" s="180"/>
      <c r="AX521" s="180"/>
      <c r="AY521" s="180"/>
      <c r="AZ521" s="180"/>
      <c r="BA521" s="180"/>
      <c r="BB521" s="180"/>
      <c r="BC521" s="180"/>
      <c r="BD521" s="180"/>
      <c r="BE521" s="180"/>
      <c r="BF521" s="180"/>
      <c r="BG521" s="180"/>
      <c r="BH521" s="180"/>
      <c r="BI521" s="180"/>
      <c r="BJ521" s="180"/>
      <c r="BK521" s="180"/>
      <c r="BL521" s="180"/>
      <c r="BM521" s="180"/>
      <c r="BN521" s="180"/>
      <c r="BO521" s="180"/>
      <c r="BP521" s="180"/>
      <c r="BQ521" s="180"/>
      <c r="BR521" s="180"/>
      <c r="BS521" s="180"/>
      <c r="BT521" s="180"/>
      <c r="BU521" s="180"/>
      <c r="BV521" s="180"/>
      <c r="BW521" s="180"/>
      <c r="BX521" s="180"/>
      <c r="BY521" s="180"/>
      <c r="BZ521" s="180"/>
      <c r="CA521" s="180"/>
      <c r="CB521" s="180"/>
      <c r="CC521" s="180"/>
      <c r="CD521" s="180"/>
      <c r="CE521" s="180"/>
      <c r="CF521" s="180"/>
      <c r="CG521" s="180"/>
      <c r="CH521" s="180"/>
      <c r="CI521" s="180"/>
      <c r="CJ521" s="180"/>
      <c r="CK521" s="180"/>
      <c r="CL521" s="180"/>
      <c r="CM521" s="180"/>
      <c r="CN521" s="180"/>
      <c r="CO521" s="180"/>
      <c r="CP521" s="180"/>
      <c r="CQ521" s="180"/>
      <c r="CR521" s="180"/>
      <c r="CS521" s="180"/>
      <c r="CT521" s="180"/>
      <c r="CU521" s="180"/>
      <c r="CV521" s="180"/>
      <c r="CW521" s="180"/>
      <c r="CX521" s="180"/>
      <c r="CY521" s="180"/>
      <c r="CZ521" s="180"/>
    </row>
    <row r="522" spans="1:104" x14ac:dyDescent="0.45">
      <c r="A522" s="180" t="s">
        <v>3</v>
      </c>
      <c r="B522" s="73">
        <v>2</v>
      </c>
      <c r="C522" s="73">
        <v>2</v>
      </c>
      <c r="D522" s="180" t="s">
        <v>271</v>
      </c>
      <c r="E522" s="39">
        <v>43608</v>
      </c>
      <c r="F522" s="179">
        <v>0.50902777777777775</v>
      </c>
      <c r="G522" s="180">
        <v>1</v>
      </c>
      <c r="H522" s="180" t="s">
        <v>458</v>
      </c>
      <c r="I522" s="180"/>
      <c r="J522" s="180"/>
      <c r="K522" s="180"/>
      <c r="L522" s="180"/>
      <c r="M522" s="180"/>
      <c r="N522" s="180"/>
      <c r="O522" s="180"/>
      <c r="P522" s="180"/>
      <c r="AS522" s="180"/>
      <c r="AT522" s="180"/>
      <c r="AU522" s="180"/>
      <c r="AV522" s="180"/>
      <c r="AW522" s="180"/>
      <c r="AX522" s="180"/>
      <c r="AY522" s="180"/>
      <c r="AZ522" s="180"/>
      <c r="BA522" s="180"/>
      <c r="BB522" s="180"/>
      <c r="BC522" s="180"/>
      <c r="BD522" s="180"/>
      <c r="BE522" s="180"/>
      <c r="BF522" s="180"/>
      <c r="BG522" s="180"/>
      <c r="BH522" s="180"/>
      <c r="BI522" s="180"/>
      <c r="BJ522" s="180"/>
      <c r="BK522" s="180"/>
      <c r="BL522" s="180"/>
      <c r="BM522" s="180"/>
      <c r="BN522" s="180"/>
      <c r="BO522" s="180"/>
      <c r="BP522" s="180"/>
      <c r="BQ522" s="180"/>
      <c r="BR522" s="180"/>
      <c r="BS522" s="180"/>
      <c r="BT522" s="180"/>
      <c r="BU522" s="180"/>
      <c r="BV522" s="180"/>
      <c r="BW522" s="180"/>
      <c r="BX522" s="180"/>
      <c r="BY522" s="180"/>
      <c r="BZ522" s="180"/>
      <c r="CA522" s="180"/>
      <c r="CB522" s="180"/>
      <c r="CC522" s="180"/>
      <c r="CD522" s="180"/>
      <c r="CE522" s="180"/>
      <c r="CF522" s="180"/>
      <c r="CG522" s="180"/>
      <c r="CH522" s="180"/>
      <c r="CI522" s="180"/>
      <c r="CJ522" s="180"/>
      <c r="CK522" s="180"/>
      <c r="CL522" s="180"/>
      <c r="CM522" s="180"/>
      <c r="CN522" s="180"/>
      <c r="CO522" s="180"/>
      <c r="CP522" s="180"/>
      <c r="CQ522" s="180"/>
      <c r="CR522" s="180"/>
      <c r="CS522" s="180"/>
      <c r="CT522" s="180"/>
      <c r="CU522" s="180"/>
      <c r="CV522" s="180"/>
      <c r="CW522" s="180"/>
      <c r="CX522" s="180"/>
      <c r="CY522" s="180"/>
      <c r="CZ522" s="180"/>
    </row>
    <row r="523" spans="1:104" x14ac:dyDescent="0.45">
      <c r="A523" s="180" t="s">
        <v>3</v>
      </c>
      <c r="B523" s="73">
        <v>2</v>
      </c>
      <c r="C523" s="73"/>
      <c r="D523" s="180" t="s">
        <v>271</v>
      </c>
      <c r="E523" s="39">
        <v>43608</v>
      </c>
      <c r="F523" s="179">
        <v>0.8125</v>
      </c>
      <c r="G523" s="180">
        <v>4</v>
      </c>
      <c r="H523" s="180" t="s">
        <v>459</v>
      </c>
      <c r="I523" s="180"/>
      <c r="J523" s="180"/>
      <c r="K523" s="180"/>
      <c r="L523" s="180"/>
      <c r="M523" s="180"/>
      <c r="N523" s="180"/>
      <c r="O523" s="180"/>
      <c r="P523" s="180"/>
      <c r="AS523" s="180"/>
      <c r="AT523" s="180"/>
      <c r="AU523" s="180"/>
      <c r="AV523" s="180"/>
      <c r="AW523" s="180"/>
      <c r="AX523" s="180"/>
      <c r="AY523" s="180"/>
      <c r="AZ523" s="180"/>
      <c r="BA523" s="180"/>
      <c r="BB523" s="180"/>
      <c r="BC523" s="180"/>
      <c r="BD523" s="180"/>
      <c r="BE523" s="180"/>
      <c r="BF523" s="180"/>
      <c r="BG523" s="180"/>
      <c r="BH523" s="180"/>
      <c r="BI523" s="180"/>
      <c r="BJ523" s="180"/>
      <c r="BK523" s="180"/>
      <c r="BL523" s="180"/>
      <c r="BM523" s="180"/>
      <c r="BN523" s="180"/>
      <c r="BO523" s="180"/>
      <c r="BP523" s="180"/>
      <c r="BQ523" s="180"/>
      <c r="BR523" s="180"/>
      <c r="BS523" s="180"/>
      <c r="BT523" s="180"/>
      <c r="BU523" s="180"/>
      <c r="BV523" s="180"/>
      <c r="BW523" s="180"/>
      <c r="BX523" s="180"/>
      <c r="BY523" s="180"/>
      <c r="BZ523" s="180"/>
      <c r="CA523" s="180"/>
      <c r="CB523" s="180"/>
      <c r="CC523" s="180"/>
      <c r="CD523" s="180"/>
      <c r="CE523" s="180"/>
      <c r="CF523" s="180"/>
      <c r="CG523" s="180"/>
      <c r="CH523" s="180"/>
      <c r="CI523" s="180"/>
      <c r="CJ523" s="180"/>
      <c r="CK523" s="180"/>
      <c r="CL523" s="180"/>
      <c r="CM523" s="180"/>
      <c r="CN523" s="180"/>
      <c r="CO523" s="180"/>
      <c r="CP523" s="180"/>
      <c r="CQ523" s="180"/>
      <c r="CR523" s="180"/>
      <c r="CS523" s="180"/>
      <c r="CT523" s="180"/>
      <c r="CU523" s="180"/>
      <c r="CV523" s="180"/>
      <c r="CW523" s="180"/>
      <c r="CX523" s="180"/>
      <c r="CY523" s="180"/>
      <c r="CZ523" s="180"/>
    </row>
    <row r="524" spans="1:104" x14ac:dyDescent="0.45">
      <c r="A524" s="180" t="s">
        <v>3</v>
      </c>
      <c r="B524" s="73">
        <v>1</v>
      </c>
      <c r="C524" s="73">
        <v>1</v>
      </c>
      <c r="D524" s="180" t="s">
        <v>271</v>
      </c>
      <c r="E524" s="39">
        <v>43609</v>
      </c>
      <c r="F524" s="179">
        <v>0.70624999999999993</v>
      </c>
      <c r="G524" s="180">
        <v>3</v>
      </c>
      <c r="H524" s="180"/>
      <c r="I524" s="180"/>
      <c r="J524" s="180"/>
      <c r="K524" s="180"/>
      <c r="L524" s="180"/>
      <c r="M524" s="180"/>
      <c r="N524" s="180"/>
      <c r="O524" s="180"/>
      <c r="P524" s="180"/>
      <c r="AS524" s="180"/>
      <c r="AT524" s="180"/>
      <c r="AU524" s="180"/>
      <c r="AV524" s="180"/>
      <c r="AW524" s="180"/>
      <c r="AX524" s="180"/>
      <c r="AY524" s="180"/>
      <c r="AZ524" s="180"/>
      <c r="BA524" s="180"/>
      <c r="BB524" s="180"/>
      <c r="BC524" s="180"/>
      <c r="BD524" s="180"/>
      <c r="BE524" s="180"/>
      <c r="BF524" s="180"/>
      <c r="BG524" s="180"/>
      <c r="BH524" s="180"/>
      <c r="BI524" s="180"/>
      <c r="BJ524" s="180"/>
      <c r="BK524" s="180"/>
      <c r="BL524" s="180"/>
      <c r="BM524" s="180"/>
      <c r="BN524" s="180"/>
      <c r="BO524" s="180"/>
      <c r="BP524" s="180"/>
      <c r="BQ524" s="180"/>
      <c r="BR524" s="180"/>
      <c r="BS524" s="180"/>
      <c r="BT524" s="180"/>
      <c r="BU524" s="180"/>
      <c r="BV524" s="180"/>
      <c r="BW524" s="180"/>
      <c r="BX524" s="180"/>
      <c r="BY524" s="180"/>
      <c r="BZ524" s="180"/>
      <c r="CA524" s="180"/>
      <c r="CB524" s="180"/>
      <c r="CC524" s="180"/>
      <c r="CD524" s="180"/>
      <c r="CE524" s="180"/>
      <c r="CF524" s="180"/>
      <c r="CG524" s="180"/>
      <c r="CH524" s="180"/>
      <c r="CI524" s="180"/>
      <c r="CJ524" s="180"/>
      <c r="CK524" s="180"/>
      <c r="CL524" s="180"/>
      <c r="CM524" s="180"/>
      <c r="CN524" s="180"/>
      <c r="CO524" s="180"/>
      <c r="CP524" s="180"/>
      <c r="CQ524" s="180"/>
      <c r="CR524" s="180"/>
      <c r="CS524" s="180"/>
      <c r="CT524" s="180"/>
      <c r="CU524" s="180"/>
      <c r="CV524" s="180"/>
      <c r="CW524" s="180"/>
      <c r="CX524" s="180"/>
      <c r="CY524" s="180"/>
      <c r="CZ524" s="180"/>
    </row>
    <row r="525" spans="1:104" x14ac:dyDescent="0.45">
      <c r="A525" s="180" t="s">
        <v>3</v>
      </c>
      <c r="B525" s="73">
        <v>1</v>
      </c>
      <c r="C525" s="73"/>
      <c r="D525" s="180" t="s">
        <v>271</v>
      </c>
      <c r="E525" s="39">
        <v>43609</v>
      </c>
      <c r="F525" s="179">
        <v>0.70624999999999993</v>
      </c>
      <c r="G525" s="180">
        <v>3</v>
      </c>
      <c r="H525" s="180"/>
      <c r="I525" s="180"/>
      <c r="J525" s="180"/>
      <c r="K525" s="180"/>
      <c r="L525" s="180"/>
      <c r="M525" s="180"/>
      <c r="N525" s="180"/>
      <c r="O525" s="180"/>
      <c r="P525" s="180"/>
      <c r="AS525" s="180"/>
      <c r="AT525" s="180"/>
      <c r="AU525" s="180"/>
      <c r="AV525" s="180"/>
      <c r="AW525" s="180"/>
      <c r="AX525" s="180"/>
      <c r="AY525" s="180"/>
      <c r="AZ525" s="180"/>
      <c r="BA525" s="180"/>
      <c r="BB525" s="180"/>
      <c r="BC525" s="180"/>
      <c r="BD525" s="180"/>
      <c r="BE525" s="180"/>
      <c r="BF525" s="180"/>
      <c r="BG525" s="180"/>
      <c r="BH525" s="180"/>
      <c r="BI525" s="180"/>
      <c r="BJ525" s="180"/>
      <c r="BK525" s="180"/>
      <c r="BL525" s="180"/>
      <c r="BM525" s="180"/>
      <c r="BN525" s="180"/>
      <c r="BO525" s="180"/>
      <c r="BP525" s="180"/>
      <c r="BQ525" s="180"/>
      <c r="BR525" s="180"/>
      <c r="BS525" s="180"/>
      <c r="BT525" s="180"/>
      <c r="BU525" s="180"/>
      <c r="BV525" s="180"/>
      <c r="BW525" s="180"/>
      <c r="BX525" s="180"/>
      <c r="BY525" s="180"/>
      <c r="BZ525" s="180"/>
      <c r="CA525" s="180"/>
      <c r="CB525" s="180"/>
      <c r="CC525" s="180"/>
      <c r="CD525" s="180"/>
      <c r="CE525" s="180"/>
      <c r="CF525" s="180"/>
      <c r="CG525" s="180"/>
      <c r="CH525" s="180"/>
      <c r="CI525" s="180"/>
      <c r="CJ525" s="180"/>
      <c r="CK525" s="180"/>
      <c r="CL525" s="180"/>
      <c r="CM525" s="180"/>
      <c r="CN525" s="180"/>
      <c r="CO525" s="180"/>
      <c r="CP525" s="180"/>
      <c r="CQ525" s="180"/>
      <c r="CR525" s="180"/>
      <c r="CS525" s="180"/>
      <c r="CT525" s="180"/>
      <c r="CU525" s="180"/>
      <c r="CV525" s="180"/>
      <c r="CW525" s="180"/>
      <c r="CX525" s="180"/>
      <c r="CY525" s="180"/>
      <c r="CZ525" s="180"/>
    </row>
    <row r="526" spans="1:104" x14ac:dyDescent="0.45">
      <c r="A526" s="1" t="s">
        <v>273</v>
      </c>
      <c r="B526" s="73"/>
      <c r="C526" s="73">
        <f>SUM(C345:C525)</f>
        <v>283</v>
      </c>
      <c r="D526" s="180"/>
      <c r="E526" s="39"/>
      <c r="F526" s="179"/>
      <c r="G526" s="180"/>
      <c r="H526" s="180"/>
      <c r="I526" s="180"/>
      <c r="J526" s="180"/>
      <c r="K526" s="180"/>
      <c r="L526" s="180"/>
      <c r="M526" s="180"/>
      <c r="N526" s="180"/>
      <c r="O526" s="180"/>
      <c r="P526" s="180"/>
      <c r="AS526" s="180"/>
      <c r="AT526" s="180"/>
      <c r="AU526" s="180"/>
      <c r="AV526" s="180"/>
      <c r="AW526" s="180"/>
      <c r="AX526" s="180"/>
      <c r="AY526" s="180"/>
      <c r="AZ526" s="180"/>
      <c r="BA526" s="180"/>
      <c r="BB526" s="180"/>
      <c r="BC526" s="180"/>
      <c r="BD526" s="180"/>
      <c r="BE526" s="180"/>
      <c r="BF526" s="180"/>
      <c r="BG526" s="180"/>
      <c r="BH526" s="180"/>
      <c r="BI526" s="180"/>
      <c r="BJ526" s="180"/>
      <c r="BK526" s="180"/>
      <c r="BL526" s="180"/>
      <c r="BM526" s="180"/>
      <c r="BN526" s="180"/>
      <c r="BO526" s="180"/>
      <c r="BP526" s="180"/>
      <c r="BQ526" s="180"/>
      <c r="BR526" s="180"/>
      <c r="BS526" s="180"/>
      <c r="BT526" s="180"/>
      <c r="BU526" s="180"/>
      <c r="BV526" s="180"/>
      <c r="BW526" s="180"/>
      <c r="BX526" s="180"/>
      <c r="BY526" s="180"/>
      <c r="BZ526" s="180"/>
      <c r="CA526" s="180"/>
      <c r="CB526" s="180"/>
      <c r="CC526" s="180"/>
      <c r="CD526" s="180"/>
      <c r="CE526" s="180"/>
      <c r="CF526" s="180"/>
      <c r="CG526" s="180"/>
      <c r="CH526" s="180"/>
      <c r="CI526" s="180"/>
      <c r="CJ526" s="180"/>
      <c r="CK526" s="180"/>
      <c r="CL526" s="180"/>
      <c r="CM526" s="180"/>
      <c r="CN526" s="180"/>
      <c r="CO526" s="180"/>
      <c r="CP526" s="180"/>
      <c r="CQ526" s="180"/>
      <c r="CR526" s="180"/>
      <c r="CS526" s="180"/>
      <c r="CT526" s="180"/>
      <c r="CU526" s="180"/>
      <c r="CV526" s="180"/>
      <c r="CW526" s="180"/>
      <c r="CX526" s="180"/>
      <c r="CY526" s="180"/>
      <c r="CZ526" s="180"/>
    </row>
    <row r="527" spans="1:104" x14ac:dyDescent="0.45">
      <c r="A527" s="1"/>
      <c r="B527" s="73"/>
      <c r="C527" s="73"/>
      <c r="D527" s="180"/>
      <c r="E527" s="39"/>
      <c r="F527" s="179"/>
      <c r="G527" s="180"/>
      <c r="H527" s="180"/>
      <c r="I527" s="180"/>
      <c r="J527" s="180"/>
      <c r="K527" s="180"/>
      <c r="L527" s="180"/>
      <c r="M527" s="180"/>
      <c r="N527" s="180"/>
      <c r="O527" s="180"/>
      <c r="P527" s="180"/>
      <c r="AS527" s="180"/>
      <c r="AT527" s="180"/>
      <c r="AU527" s="180"/>
      <c r="AV527" s="180"/>
      <c r="AW527" s="180"/>
      <c r="AX527" s="180"/>
      <c r="AY527" s="180"/>
      <c r="AZ527" s="180"/>
      <c r="BA527" s="180"/>
      <c r="BB527" s="180"/>
      <c r="BC527" s="180"/>
      <c r="BD527" s="180"/>
      <c r="BE527" s="180"/>
      <c r="BF527" s="180"/>
      <c r="BG527" s="180"/>
      <c r="BH527" s="180"/>
      <c r="BI527" s="180"/>
      <c r="BJ527" s="180"/>
      <c r="BK527" s="180"/>
      <c r="BL527" s="180"/>
      <c r="BM527" s="180"/>
      <c r="BN527" s="180"/>
      <c r="BO527" s="180"/>
      <c r="BP527" s="180"/>
      <c r="BQ527" s="180"/>
      <c r="BR527" s="180"/>
      <c r="BS527" s="180"/>
      <c r="BT527" s="180"/>
      <c r="BU527" s="180"/>
      <c r="BV527" s="180"/>
      <c r="BW527" s="180"/>
      <c r="BX527" s="180"/>
      <c r="BY527" s="180"/>
      <c r="BZ527" s="180"/>
      <c r="CA527" s="180"/>
      <c r="CB527" s="180"/>
      <c r="CC527" s="180"/>
      <c r="CD527" s="180"/>
      <c r="CE527" s="180"/>
      <c r="CF527" s="180"/>
      <c r="CG527" s="180"/>
      <c r="CH527" s="180"/>
      <c r="CI527" s="180"/>
      <c r="CJ527" s="180"/>
      <c r="CK527" s="180"/>
      <c r="CL527" s="180"/>
      <c r="CM527" s="180"/>
      <c r="CN527" s="180"/>
      <c r="CO527" s="180"/>
      <c r="CP527" s="180"/>
      <c r="CQ527" s="180"/>
      <c r="CR527" s="180"/>
      <c r="CS527" s="180"/>
      <c r="CT527" s="180"/>
      <c r="CU527" s="180"/>
      <c r="CV527" s="180"/>
      <c r="CW527" s="180"/>
      <c r="CX527" s="180"/>
      <c r="CY527" s="180"/>
      <c r="CZ527" s="180"/>
    </row>
    <row r="528" spans="1:104" x14ac:dyDescent="0.45">
      <c r="A528" s="180" t="s">
        <v>182</v>
      </c>
      <c r="B528" s="73">
        <v>2</v>
      </c>
      <c r="C528" s="73">
        <v>2</v>
      </c>
      <c r="D528" s="180" t="s">
        <v>311</v>
      </c>
      <c r="E528" s="39">
        <v>43588</v>
      </c>
      <c r="F528" s="179">
        <v>0.67708333333333337</v>
      </c>
      <c r="G528" s="180">
        <v>9</v>
      </c>
      <c r="H528" s="180" t="s">
        <v>312</v>
      </c>
      <c r="I528" s="180"/>
      <c r="J528" s="180"/>
      <c r="K528" s="180"/>
      <c r="L528" s="180"/>
      <c r="M528" s="180"/>
      <c r="N528" s="180"/>
      <c r="O528" s="180"/>
      <c r="P528" s="180"/>
      <c r="AS528" s="180"/>
      <c r="AT528" s="180"/>
      <c r="AU528" s="180"/>
      <c r="AV528" s="180"/>
      <c r="AW528" s="180"/>
      <c r="AX528" s="180"/>
      <c r="AY528" s="180"/>
      <c r="AZ528" s="180"/>
      <c r="BA528" s="180"/>
      <c r="BB528" s="180"/>
      <c r="BC528" s="180"/>
      <c r="BD528" s="180"/>
      <c r="BE528" s="180"/>
      <c r="BF528" s="180"/>
      <c r="BG528" s="180"/>
      <c r="BH528" s="180"/>
      <c r="BI528" s="180"/>
      <c r="BJ528" s="180"/>
      <c r="BK528" s="180"/>
      <c r="BL528" s="180"/>
      <c r="BM528" s="180"/>
      <c r="BN528" s="180"/>
      <c r="BO528" s="180"/>
      <c r="BP528" s="180"/>
      <c r="BQ528" s="180"/>
      <c r="BR528" s="180"/>
      <c r="BS528" s="180"/>
      <c r="BT528" s="180"/>
      <c r="BU528" s="180"/>
      <c r="BV528" s="180"/>
      <c r="BW528" s="180"/>
      <c r="BX528" s="180"/>
      <c r="BY528" s="180"/>
      <c r="BZ528" s="180"/>
      <c r="CA528" s="180"/>
      <c r="CB528" s="180"/>
      <c r="CC528" s="180"/>
      <c r="CD528" s="180"/>
      <c r="CE528" s="180"/>
      <c r="CF528" s="180"/>
      <c r="CG528" s="180"/>
      <c r="CH528" s="180"/>
      <c r="CI528" s="180"/>
      <c r="CJ528" s="180"/>
      <c r="CK528" s="180"/>
      <c r="CL528" s="180"/>
      <c r="CM528" s="180"/>
      <c r="CN528" s="180"/>
      <c r="CO528" s="180"/>
      <c r="CP528" s="180"/>
      <c r="CQ528" s="180"/>
      <c r="CR528" s="180"/>
      <c r="CS528" s="180"/>
      <c r="CT528" s="180"/>
      <c r="CU528" s="180"/>
      <c r="CV528" s="180"/>
      <c r="CW528" s="180"/>
      <c r="CX528" s="180"/>
      <c r="CY528" s="180"/>
      <c r="CZ528" s="180"/>
    </row>
    <row r="529" spans="1:104" x14ac:dyDescent="0.45">
      <c r="A529" s="180" t="s">
        <v>182</v>
      </c>
      <c r="B529" s="73">
        <v>4</v>
      </c>
      <c r="C529" s="73">
        <v>4</v>
      </c>
      <c r="D529" s="180" t="s">
        <v>271</v>
      </c>
      <c r="E529" s="39">
        <v>43592</v>
      </c>
      <c r="F529" s="179">
        <v>0.43263888888888885</v>
      </c>
      <c r="G529" s="180">
        <v>1</v>
      </c>
      <c r="H529" s="180"/>
      <c r="I529" s="180"/>
      <c r="J529" s="180"/>
      <c r="K529" s="180"/>
      <c r="L529" s="180"/>
      <c r="M529" s="180"/>
      <c r="N529" s="180"/>
      <c r="O529" s="180"/>
      <c r="P529" s="180"/>
      <c r="AS529" s="180"/>
      <c r="AT529" s="180"/>
      <c r="AU529" s="180"/>
      <c r="AV529" s="180"/>
      <c r="AW529" s="180"/>
      <c r="AX529" s="180"/>
      <c r="AY529" s="180"/>
      <c r="AZ529" s="180"/>
      <c r="BA529" s="180"/>
      <c r="BB529" s="180"/>
      <c r="BC529" s="180"/>
      <c r="BD529" s="180"/>
      <c r="BE529" s="180"/>
      <c r="BF529" s="180"/>
      <c r="BG529" s="180"/>
      <c r="BH529" s="180"/>
      <c r="BI529" s="180"/>
      <c r="BJ529" s="180"/>
      <c r="BK529" s="180"/>
      <c r="BL529" s="180"/>
      <c r="BM529" s="180"/>
      <c r="BN529" s="180"/>
      <c r="BO529" s="180"/>
      <c r="BP529" s="180"/>
      <c r="BQ529" s="180"/>
      <c r="BR529" s="180"/>
      <c r="BS529" s="180"/>
      <c r="BT529" s="180"/>
      <c r="BU529" s="180"/>
      <c r="BV529" s="180"/>
      <c r="BW529" s="180"/>
      <c r="BX529" s="180"/>
      <c r="BY529" s="180"/>
      <c r="BZ529" s="180"/>
      <c r="CA529" s="180"/>
      <c r="CB529" s="180"/>
      <c r="CC529" s="180"/>
      <c r="CD529" s="180"/>
      <c r="CE529" s="180"/>
      <c r="CF529" s="180"/>
      <c r="CG529" s="180"/>
      <c r="CH529" s="180"/>
      <c r="CI529" s="180"/>
      <c r="CJ529" s="180"/>
      <c r="CK529" s="180"/>
      <c r="CL529" s="180"/>
      <c r="CM529" s="180"/>
      <c r="CN529" s="180"/>
      <c r="CO529" s="180"/>
      <c r="CP529" s="180"/>
      <c r="CQ529" s="180"/>
      <c r="CR529" s="180"/>
      <c r="CS529" s="180"/>
      <c r="CT529" s="180"/>
      <c r="CU529" s="180"/>
      <c r="CV529" s="180"/>
      <c r="CW529" s="180"/>
      <c r="CX529" s="180"/>
      <c r="CY529" s="180"/>
      <c r="CZ529" s="180"/>
    </row>
    <row r="530" spans="1:104" x14ac:dyDescent="0.45">
      <c r="A530" s="180" t="s">
        <v>182</v>
      </c>
      <c r="B530" s="73">
        <v>2</v>
      </c>
      <c r="C530" s="73">
        <v>2</v>
      </c>
      <c r="D530" s="180" t="s">
        <v>309</v>
      </c>
      <c r="E530" s="39">
        <v>43595</v>
      </c>
      <c r="F530" s="179">
        <v>0.86805555555555547</v>
      </c>
      <c r="G530" s="180">
        <v>11</v>
      </c>
      <c r="H530" s="180"/>
      <c r="I530" s="180"/>
      <c r="J530" s="180"/>
      <c r="K530" s="180"/>
      <c r="L530" s="180"/>
      <c r="M530" s="180"/>
      <c r="N530" s="180"/>
      <c r="O530" s="180"/>
      <c r="P530" s="180"/>
      <c r="AS530" s="180"/>
      <c r="AT530" s="180"/>
      <c r="AU530" s="180"/>
      <c r="AV530" s="180"/>
      <c r="AW530" s="180"/>
      <c r="AX530" s="180"/>
      <c r="AY530" s="180"/>
      <c r="AZ530" s="180"/>
      <c r="BA530" s="180"/>
      <c r="BB530" s="180"/>
      <c r="BC530" s="180"/>
      <c r="BD530" s="180"/>
      <c r="BE530" s="180"/>
      <c r="BF530" s="180"/>
      <c r="BG530" s="180"/>
      <c r="BH530" s="180"/>
      <c r="BI530" s="180"/>
      <c r="BJ530" s="180"/>
      <c r="BK530" s="180"/>
      <c r="BL530" s="180"/>
      <c r="BM530" s="180"/>
      <c r="BN530" s="180"/>
      <c r="BO530" s="180"/>
      <c r="BP530" s="180"/>
      <c r="BQ530" s="180"/>
      <c r="BR530" s="180"/>
      <c r="BS530" s="180"/>
      <c r="BT530" s="180"/>
      <c r="BU530" s="180"/>
      <c r="BV530" s="180"/>
      <c r="BW530" s="180"/>
      <c r="BX530" s="180"/>
      <c r="BY530" s="180"/>
      <c r="BZ530" s="180"/>
      <c r="CA530" s="180"/>
      <c r="CB530" s="180"/>
      <c r="CC530" s="180"/>
      <c r="CD530" s="180"/>
      <c r="CE530" s="180"/>
      <c r="CF530" s="180"/>
      <c r="CG530" s="180"/>
      <c r="CH530" s="180"/>
      <c r="CI530" s="180"/>
      <c r="CJ530" s="180"/>
      <c r="CK530" s="180"/>
      <c r="CL530" s="180"/>
      <c r="CM530" s="180"/>
      <c r="CN530" s="180"/>
      <c r="CO530" s="180"/>
      <c r="CP530" s="180"/>
      <c r="CQ530" s="180"/>
      <c r="CR530" s="180"/>
      <c r="CS530" s="180"/>
      <c r="CT530" s="180"/>
      <c r="CU530" s="180"/>
      <c r="CV530" s="180"/>
      <c r="CW530" s="180"/>
      <c r="CX530" s="180"/>
      <c r="CY530" s="180"/>
      <c r="CZ530" s="180"/>
    </row>
    <row r="531" spans="1:104" x14ac:dyDescent="0.45">
      <c r="A531" s="180" t="s">
        <v>182</v>
      </c>
      <c r="B531" s="73">
        <v>4</v>
      </c>
      <c r="C531" s="73">
        <v>4</v>
      </c>
      <c r="D531" s="180" t="s">
        <v>415</v>
      </c>
      <c r="E531" s="39">
        <v>43595</v>
      </c>
      <c r="F531" s="179">
        <v>0.89583333333333337</v>
      </c>
      <c r="G531" s="180">
        <v>2</v>
      </c>
      <c r="H531" s="180"/>
      <c r="I531" s="180"/>
      <c r="J531" s="180"/>
      <c r="K531" s="180"/>
      <c r="L531" s="180"/>
      <c r="M531" s="180"/>
      <c r="N531" s="180"/>
      <c r="O531" s="180"/>
      <c r="P531" s="180"/>
      <c r="AS531" s="180"/>
      <c r="AT531" s="180"/>
      <c r="AU531" s="180"/>
      <c r="AV531" s="180"/>
      <c r="AW531" s="180"/>
      <c r="AX531" s="180"/>
      <c r="AY531" s="180"/>
      <c r="AZ531" s="180"/>
      <c r="BA531" s="180"/>
      <c r="BB531" s="180"/>
      <c r="BC531" s="180"/>
      <c r="BD531" s="180"/>
      <c r="BE531" s="180"/>
      <c r="BF531" s="180"/>
      <c r="BG531" s="180"/>
      <c r="BH531" s="180"/>
      <c r="BI531" s="180"/>
      <c r="BJ531" s="180"/>
      <c r="BK531" s="180"/>
      <c r="BL531" s="180"/>
      <c r="BM531" s="180"/>
      <c r="BN531" s="180"/>
      <c r="BO531" s="180"/>
      <c r="BP531" s="180"/>
      <c r="BQ531" s="180"/>
      <c r="BR531" s="180"/>
      <c r="BS531" s="180"/>
      <c r="BT531" s="180"/>
      <c r="BU531" s="180"/>
      <c r="BV531" s="180"/>
      <c r="BW531" s="180"/>
      <c r="BX531" s="180"/>
      <c r="BY531" s="180"/>
      <c r="BZ531" s="180"/>
      <c r="CA531" s="180"/>
      <c r="CB531" s="180"/>
      <c r="CC531" s="180"/>
      <c r="CD531" s="180"/>
      <c r="CE531" s="180"/>
      <c r="CF531" s="180"/>
      <c r="CG531" s="180"/>
      <c r="CH531" s="180"/>
      <c r="CI531" s="180"/>
      <c r="CJ531" s="180"/>
      <c r="CK531" s="180"/>
      <c r="CL531" s="180"/>
      <c r="CM531" s="180"/>
      <c r="CN531" s="180"/>
      <c r="CO531" s="180"/>
      <c r="CP531" s="180"/>
      <c r="CQ531" s="180"/>
      <c r="CR531" s="180"/>
      <c r="CS531" s="180"/>
      <c r="CT531" s="180"/>
      <c r="CU531" s="180"/>
      <c r="CV531" s="180"/>
      <c r="CW531" s="180"/>
      <c r="CX531" s="180"/>
      <c r="CY531" s="180"/>
      <c r="CZ531" s="180"/>
    </row>
    <row r="532" spans="1:104" x14ac:dyDescent="0.45">
      <c r="A532" s="180" t="s">
        <v>182</v>
      </c>
      <c r="B532" s="73">
        <v>4</v>
      </c>
      <c r="C532" s="73"/>
      <c r="D532" s="180" t="s">
        <v>415</v>
      </c>
      <c r="E532" s="39">
        <v>43595</v>
      </c>
      <c r="F532" s="179">
        <v>0.89583333333333337</v>
      </c>
      <c r="G532" s="180">
        <v>2</v>
      </c>
      <c r="H532" s="180"/>
      <c r="I532" s="180"/>
      <c r="J532" s="180"/>
      <c r="K532" s="180"/>
      <c r="L532" s="180"/>
      <c r="M532" s="180"/>
      <c r="N532" s="180"/>
      <c r="O532" s="180"/>
      <c r="P532" s="180"/>
      <c r="AS532" s="180"/>
      <c r="AT532" s="180"/>
      <c r="AU532" s="180"/>
      <c r="AV532" s="180"/>
      <c r="AW532" s="180"/>
      <c r="AX532" s="180"/>
      <c r="AY532" s="180"/>
      <c r="AZ532" s="180"/>
      <c r="BA532" s="180"/>
      <c r="BB532" s="180"/>
      <c r="BC532" s="180"/>
      <c r="BD532" s="180"/>
      <c r="BE532" s="180"/>
      <c r="BF532" s="180"/>
      <c r="BG532" s="180"/>
      <c r="BH532" s="180"/>
      <c r="BI532" s="180"/>
      <c r="BJ532" s="180"/>
      <c r="BK532" s="180"/>
      <c r="BL532" s="180"/>
      <c r="BM532" s="180"/>
      <c r="BN532" s="180"/>
      <c r="BO532" s="180"/>
      <c r="BP532" s="180"/>
      <c r="BQ532" s="180"/>
      <c r="BR532" s="180"/>
      <c r="BS532" s="180"/>
      <c r="BT532" s="180"/>
      <c r="BU532" s="180"/>
      <c r="BV532" s="180"/>
      <c r="BW532" s="180"/>
      <c r="BX532" s="180"/>
      <c r="BY532" s="180"/>
      <c r="BZ532" s="180"/>
      <c r="CA532" s="180"/>
      <c r="CB532" s="180"/>
      <c r="CC532" s="180"/>
      <c r="CD532" s="180"/>
      <c r="CE532" s="180"/>
      <c r="CF532" s="180"/>
      <c r="CG532" s="180"/>
      <c r="CH532" s="180"/>
      <c r="CI532" s="180"/>
      <c r="CJ532" s="180"/>
      <c r="CK532" s="180"/>
      <c r="CL532" s="180"/>
      <c r="CM532" s="180"/>
      <c r="CN532" s="180"/>
      <c r="CO532" s="180"/>
      <c r="CP532" s="180"/>
      <c r="CQ532" s="180"/>
      <c r="CR532" s="180"/>
      <c r="CS532" s="180"/>
      <c r="CT532" s="180"/>
      <c r="CU532" s="180"/>
      <c r="CV532" s="180"/>
      <c r="CW532" s="180"/>
      <c r="CX532" s="180"/>
      <c r="CY532" s="180"/>
      <c r="CZ532" s="180"/>
    </row>
    <row r="533" spans="1:104" x14ac:dyDescent="0.45">
      <c r="A533" s="180" t="s">
        <v>182</v>
      </c>
      <c r="B533" s="73">
        <v>3</v>
      </c>
      <c r="C533" s="73">
        <v>3</v>
      </c>
      <c r="D533" s="180" t="s">
        <v>271</v>
      </c>
      <c r="E533" s="39">
        <v>43596</v>
      </c>
      <c r="F533" s="179">
        <v>0.5625</v>
      </c>
      <c r="G533" s="180">
        <v>3</v>
      </c>
      <c r="H533" s="180"/>
      <c r="I533" s="180"/>
      <c r="J533" s="180"/>
      <c r="K533" s="180"/>
      <c r="L533" s="180"/>
      <c r="M533" s="180"/>
      <c r="N533" s="180"/>
      <c r="O533" s="180"/>
      <c r="P533" s="180"/>
      <c r="AS533" s="180"/>
      <c r="AT533" s="180"/>
      <c r="AU533" s="180"/>
      <c r="AV533" s="180"/>
      <c r="AW533" s="180"/>
      <c r="AX533" s="180"/>
      <c r="AY533" s="180"/>
      <c r="AZ533" s="180"/>
      <c r="BA533" s="180"/>
      <c r="BB533" s="180"/>
      <c r="BC533" s="180"/>
      <c r="BD533" s="180"/>
      <c r="BE533" s="180"/>
      <c r="BF533" s="180"/>
      <c r="BG533" s="180"/>
      <c r="BH533" s="180"/>
      <c r="BI533" s="180"/>
      <c r="BJ533" s="180"/>
      <c r="BK533" s="180"/>
      <c r="BL533" s="180"/>
      <c r="BM533" s="180"/>
      <c r="BN533" s="180"/>
      <c r="BO533" s="180"/>
      <c r="BP533" s="180"/>
      <c r="BQ533" s="180"/>
      <c r="BR533" s="180"/>
      <c r="BS533" s="180"/>
      <c r="BT533" s="180"/>
      <c r="BU533" s="180"/>
      <c r="BV533" s="180"/>
      <c r="BW533" s="180"/>
      <c r="BX533" s="180"/>
      <c r="BY533" s="180"/>
      <c r="BZ533" s="180"/>
      <c r="CA533" s="180"/>
      <c r="CB533" s="180"/>
      <c r="CC533" s="180"/>
      <c r="CD533" s="180"/>
      <c r="CE533" s="180"/>
      <c r="CF533" s="180"/>
      <c r="CG533" s="180"/>
      <c r="CH533" s="180"/>
      <c r="CI533" s="180"/>
      <c r="CJ533" s="180"/>
      <c r="CK533" s="180"/>
      <c r="CL533" s="180"/>
      <c r="CM533" s="180"/>
      <c r="CN533" s="180"/>
      <c r="CO533" s="180"/>
      <c r="CP533" s="180"/>
      <c r="CQ533" s="180"/>
      <c r="CR533" s="180"/>
      <c r="CS533" s="180"/>
      <c r="CT533" s="180"/>
      <c r="CU533" s="180"/>
      <c r="CV533" s="180"/>
      <c r="CW533" s="180"/>
      <c r="CX533" s="180"/>
      <c r="CY533" s="180"/>
      <c r="CZ533" s="180"/>
    </row>
    <row r="534" spans="1:104" x14ac:dyDescent="0.45">
      <c r="A534" s="180" t="s">
        <v>182</v>
      </c>
      <c r="B534" s="73">
        <v>1</v>
      </c>
      <c r="C534" s="73"/>
      <c r="D534" s="180" t="s">
        <v>395</v>
      </c>
      <c r="E534" s="39">
        <v>43597</v>
      </c>
      <c r="F534" s="179">
        <v>0.3125</v>
      </c>
      <c r="G534" s="180">
        <v>1</v>
      </c>
      <c r="H534" s="180" t="s">
        <v>396</v>
      </c>
      <c r="I534" s="180"/>
      <c r="J534" s="180"/>
      <c r="K534" s="180"/>
      <c r="L534" s="180"/>
      <c r="M534" s="180"/>
      <c r="N534" s="180"/>
      <c r="O534" s="180"/>
      <c r="P534" s="180"/>
      <c r="AS534" s="180"/>
      <c r="AT534" s="180"/>
      <c r="AU534" s="180"/>
      <c r="AV534" s="180"/>
      <c r="AW534" s="180"/>
      <c r="AX534" s="180"/>
      <c r="AY534" s="180"/>
      <c r="AZ534" s="180"/>
      <c r="BA534" s="180"/>
      <c r="BB534" s="180"/>
      <c r="BC534" s="180"/>
      <c r="BD534" s="180"/>
      <c r="BE534" s="180"/>
      <c r="BF534" s="180"/>
      <c r="BG534" s="180"/>
      <c r="BH534" s="180"/>
      <c r="BI534" s="180"/>
      <c r="BJ534" s="180"/>
      <c r="BK534" s="180"/>
      <c r="BL534" s="180"/>
      <c r="BM534" s="180"/>
      <c r="BN534" s="180"/>
      <c r="BO534" s="180"/>
      <c r="BP534" s="180"/>
      <c r="BQ534" s="180"/>
      <c r="BR534" s="180"/>
      <c r="BS534" s="180"/>
      <c r="BT534" s="180"/>
      <c r="BU534" s="180"/>
      <c r="BV534" s="180"/>
      <c r="BW534" s="180"/>
      <c r="BX534" s="180"/>
      <c r="BY534" s="180"/>
      <c r="BZ534" s="180"/>
      <c r="CA534" s="180"/>
      <c r="CB534" s="180"/>
      <c r="CC534" s="180"/>
      <c r="CD534" s="180"/>
      <c r="CE534" s="180"/>
      <c r="CF534" s="180"/>
      <c r="CG534" s="180"/>
      <c r="CH534" s="180"/>
      <c r="CI534" s="180"/>
      <c r="CJ534" s="180"/>
      <c r="CK534" s="180"/>
      <c r="CL534" s="180"/>
      <c r="CM534" s="180"/>
      <c r="CN534" s="180"/>
      <c r="CO534" s="180"/>
      <c r="CP534" s="180"/>
      <c r="CQ534" s="180"/>
      <c r="CR534" s="180"/>
      <c r="CS534" s="180"/>
      <c r="CT534" s="180"/>
      <c r="CU534" s="180"/>
      <c r="CV534" s="180"/>
      <c r="CW534" s="180"/>
      <c r="CX534" s="180"/>
      <c r="CY534" s="180"/>
      <c r="CZ534" s="180"/>
    </row>
    <row r="535" spans="1:104" x14ac:dyDescent="0.45">
      <c r="A535" s="180" t="s">
        <v>182</v>
      </c>
      <c r="B535" s="73">
        <v>1</v>
      </c>
      <c r="C535" s="73">
        <v>1</v>
      </c>
      <c r="D535" s="180" t="s">
        <v>271</v>
      </c>
      <c r="E535" s="39">
        <v>43597</v>
      </c>
      <c r="F535" s="179">
        <v>0.66666666666666663</v>
      </c>
      <c r="G535" s="180">
        <v>2</v>
      </c>
      <c r="H535" s="180"/>
      <c r="I535" s="180"/>
      <c r="J535" s="180"/>
      <c r="K535" s="180"/>
      <c r="L535" s="180"/>
      <c r="M535" s="180"/>
      <c r="N535" s="180"/>
      <c r="O535" s="180"/>
      <c r="P535" s="180"/>
      <c r="AS535" s="180"/>
      <c r="AT535" s="180"/>
      <c r="AU535" s="180"/>
      <c r="AV535" s="180"/>
      <c r="AW535" s="180"/>
      <c r="AX535" s="180"/>
      <c r="AY535" s="180"/>
      <c r="AZ535" s="180"/>
      <c r="BA535" s="180"/>
      <c r="BB535" s="180"/>
      <c r="BC535" s="180"/>
      <c r="BD535" s="180"/>
      <c r="BE535" s="180"/>
      <c r="BF535" s="180"/>
      <c r="BG535" s="180"/>
      <c r="BH535" s="180"/>
      <c r="BI535" s="180"/>
      <c r="BJ535" s="180"/>
      <c r="BK535" s="180"/>
      <c r="BL535" s="180"/>
      <c r="BM535" s="180"/>
      <c r="BN535" s="180"/>
      <c r="BO535" s="180"/>
      <c r="BP535" s="180"/>
      <c r="BQ535" s="180"/>
      <c r="BR535" s="180"/>
      <c r="BS535" s="180"/>
      <c r="BT535" s="180"/>
      <c r="BU535" s="180"/>
      <c r="BV535" s="180"/>
      <c r="BW535" s="180"/>
      <c r="BX535" s="180"/>
      <c r="BY535" s="180"/>
      <c r="BZ535" s="180"/>
      <c r="CA535" s="180"/>
      <c r="CB535" s="180"/>
      <c r="CC535" s="180"/>
      <c r="CD535" s="180"/>
      <c r="CE535" s="180"/>
      <c r="CF535" s="180"/>
      <c r="CG535" s="180"/>
      <c r="CH535" s="180"/>
      <c r="CI535" s="180"/>
      <c r="CJ535" s="180"/>
      <c r="CK535" s="180"/>
      <c r="CL535" s="180"/>
      <c r="CM535" s="180"/>
      <c r="CN535" s="180"/>
      <c r="CO535" s="180"/>
      <c r="CP535" s="180"/>
      <c r="CQ535" s="180"/>
      <c r="CR535" s="180"/>
      <c r="CS535" s="180"/>
      <c r="CT535" s="180"/>
      <c r="CU535" s="180"/>
      <c r="CV535" s="180"/>
      <c r="CW535" s="180"/>
      <c r="CX535" s="180"/>
      <c r="CY535" s="180"/>
      <c r="CZ535" s="180"/>
    </row>
    <row r="536" spans="1:104" x14ac:dyDescent="0.45">
      <c r="A536" s="180" t="s">
        <v>182</v>
      </c>
      <c r="B536" s="73">
        <v>1</v>
      </c>
      <c r="C536" s="73"/>
      <c r="D536" s="180" t="s">
        <v>271</v>
      </c>
      <c r="E536" s="39">
        <v>43597</v>
      </c>
      <c r="F536" s="179">
        <v>0.375</v>
      </c>
      <c r="G536" s="180">
        <v>9</v>
      </c>
      <c r="H536" s="180"/>
      <c r="I536" s="180"/>
      <c r="J536" s="180"/>
      <c r="K536" s="180"/>
      <c r="L536" s="180"/>
      <c r="M536" s="180"/>
      <c r="N536" s="180"/>
      <c r="O536" s="180"/>
      <c r="P536" s="180"/>
      <c r="AS536" s="180"/>
      <c r="AT536" s="180"/>
      <c r="AU536" s="180"/>
      <c r="AV536" s="180"/>
      <c r="AW536" s="180"/>
      <c r="AX536" s="180"/>
      <c r="AY536" s="180"/>
      <c r="AZ536" s="180"/>
      <c r="BA536" s="180"/>
      <c r="BB536" s="180"/>
      <c r="BC536" s="180"/>
      <c r="BD536" s="180"/>
      <c r="BE536" s="180"/>
      <c r="BF536" s="180"/>
      <c r="BG536" s="180"/>
      <c r="BH536" s="180"/>
      <c r="BI536" s="180"/>
      <c r="BJ536" s="180"/>
      <c r="BK536" s="180"/>
      <c r="BL536" s="180"/>
      <c r="BM536" s="180"/>
      <c r="BN536" s="180"/>
      <c r="BO536" s="180"/>
      <c r="BP536" s="180"/>
      <c r="BQ536" s="180"/>
      <c r="BR536" s="180"/>
      <c r="BS536" s="180"/>
      <c r="BT536" s="180"/>
      <c r="BU536" s="180"/>
      <c r="BV536" s="180"/>
      <c r="BW536" s="180"/>
      <c r="BX536" s="180"/>
      <c r="BY536" s="180"/>
      <c r="BZ536" s="180"/>
      <c r="CA536" s="180"/>
      <c r="CB536" s="180"/>
      <c r="CC536" s="180"/>
      <c r="CD536" s="180"/>
      <c r="CE536" s="180"/>
      <c r="CF536" s="180"/>
      <c r="CG536" s="180"/>
      <c r="CH536" s="180"/>
      <c r="CI536" s="180"/>
      <c r="CJ536" s="180"/>
      <c r="CK536" s="180"/>
      <c r="CL536" s="180"/>
      <c r="CM536" s="180"/>
      <c r="CN536" s="180"/>
      <c r="CO536" s="180"/>
      <c r="CP536" s="180"/>
      <c r="CQ536" s="180"/>
      <c r="CR536" s="180"/>
      <c r="CS536" s="180"/>
      <c r="CT536" s="180"/>
      <c r="CU536" s="180"/>
      <c r="CV536" s="180"/>
      <c r="CW536" s="180"/>
      <c r="CX536" s="180"/>
      <c r="CY536" s="180"/>
      <c r="CZ536" s="180"/>
    </row>
    <row r="537" spans="1:104" x14ac:dyDescent="0.45">
      <c r="A537" s="180" t="s">
        <v>182</v>
      </c>
      <c r="B537" s="73">
        <v>1</v>
      </c>
      <c r="C537" s="73"/>
      <c r="D537" s="180" t="s">
        <v>271</v>
      </c>
      <c r="E537" s="39">
        <v>43597</v>
      </c>
      <c r="F537" s="179">
        <v>0.375</v>
      </c>
      <c r="G537" s="180">
        <v>9</v>
      </c>
      <c r="H537" s="180"/>
      <c r="I537" s="180"/>
      <c r="J537" s="180"/>
      <c r="K537" s="180"/>
      <c r="L537" s="180"/>
      <c r="M537" s="180"/>
      <c r="N537" s="180"/>
      <c r="O537" s="180"/>
      <c r="P537" s="180"/>
      <c r="AS537" s="180"/>
      <c r="AT537" s="180"/>
      <c r="AU537" s="180"/>
      <c r="AV537" s="180"/>
      <c r="AW537" s="180"/>
      <c r="AX537" s="180"/>
      <c r="AY537" s="180"/>
      <c r="AZ537" s="180"/>
      <c r="BA537" s="180"/>
      <c r="BB537" s="180"/>
      <c r="BC537" s="180"/>
      <c r="BD537" s="180"/>
      <c r="BE537" s="180"/>
      <c r="BF537" s="180"/>
      <c r="BG537" s="180"/>
      <c r="BH537" s="180"/>
      <c r="BI537" s="180"/>
      <c r="BJ537" s="180"/>
      <c r="BK537" s="180"/>
      <c r="BL537" s="180"/>
      <c r="BM537" s="180"/>
      <c r="BN537" s="180"/>
      <c r="BO537" s="180"/>
      <c r="BP537" s="180"/>
      <c r="BQ537" s="180"/>
      <c r="BR537" s="180"/>
      <c r="BS537" s="180"/>
      <c r="BT537" s="180"/>
      <c r="BU537" s="180"/>
      <c r="BV537" s="180"/>
      <c r="BW537" s="180"/>
      <c r="BX537" s="180"/>
      <c r="BY537" s="180"/>
      <c r="BZ537" s="180"/>
      <c r="CA537" s="180"/>
      <c r="CB537" s="180"/>
      <c r="CC537" s="180"/>
      <c r="CD537" s="180"/>
      <c r="CE537" s="180"/>
      <c r="CF537" s="180"/>
      <c r="CG537" s="180"/>
      <c r="CH537" s="180"/>
      <c r="CI537" s="180"/>
      <c r="CJ537" s="180"/>
      <c r="CK537" s="180"/>
      <c r="CL537" s="180"/>
      <c r="CM537" s="180"/>
      <c r="CN537" s="180"/>
      <c r="CO537" s="180"/>
      <c r="CP537" s="180"/>
      <c r="CQ537" s="180"/>
      <c r="CR537" s="180"/>
      <c r="CS537" s="180"/>
      <c r="CT537" s="180"/>
      <c r="CU537" s="180"/>
      <c r="CV537" s="180"/>
      <c r="CW537" s="180"/>
      <c r="CX537" s="180"/>
      <c r="CY537" s="180"/>
      <c r="CZ537" s="180"/>
    </row>
    <row r="538" spans="1:104" x14ac:dyDescent="0.45">
      <c r="A538" s="180" t="s">
        <v>182</v>
      </c>
      <c r="B538" s="73">
        <v>1</v>
      </c>
      <c r="C538" s="73"/>
      <c r="D538" s="180" t="s">
        <v>271</v>
      </c>
      <c r="E538" s="39">
        <v>43597</v>
      </c>
      <c r="F538" s="179">
        <v>0.375</v>
      </c>
      <c r="G538" s="180">
        <v>9</v>
      </c>
      <c r="H538" s="180"/>
      <c r="I538" s="180"/>
      <c r="J538" s="180"/>
      <c r="K538" s="180"/>
      <c r="L538" s="180"/>
      <c r="M538" s="180"/>
      <c r="N538" s="180"/>
      <c r="O538" s="180"/>
      <c r="P538" s="180"/>
      <c r="AS538" s="180"/>
      <c r="AT538" s="180"/>
      <c r="AU538" s="180"/>
      <c r="AV538" s="180"/>
      <c r="AW538" s="180"/>
      <c r="AX538" s="180"/>
      <c r="AY538" s="180"/>
      <c r="AZ538" s="180"/>
      <c r="BA538" s="180"/>
      <c r="BB538" s="180"/>
      <c r="BC538" s="180"/>
      <c r="BD538" s="180"/>
      <c r="BE538" s="180"/>
      <c r="BF538" s="180"/>
      <c r="BG538" s="180"/>
      <c r="BH538" s="180"/>
      <c r="BI538" s="180"/>
      <c r="BJ538" s="180"/>
      <c r="BK538" s="180"/>
      <c r="BL538" s="180"/>
      <c r="BM538" s="180"/>
      <c r="BN538" s="180"/>
      <c r="BO538" s="180"/>
      <c r="BP538" s="180"/>
      <c r="BQ538" s="180"/>
      <c r="BR538" s="180"/>
      <c r="BS538" s="180"/>
      <c r="BT538" s="180"/>
      <c r="BU538" s="180"/>
      <c r="BV538" s="180"/>
      <c r="BW538" s="180"/>
      <c r="BX538" s="180"/>
      <c r="BY538" s="180"/>
      <c r="BZ538" s="180"/>
      <c r="CA538" s="180"/>
      <c r="CB538" s="180"/>
      <c r="CC538" s="180"/>
      <c r="CD538" s="180"/>
      <c r="CE538" s="180"/>
      <c r="CF538" s="180"/>
      <c r="CG538" s="180"/>
      <c r="CH538" s="180"/>
      <c r="CI538" s="180"/>
      <c r="CJ538" s="180"/>
      <c r="CK538" s="180"/>
      <c r="CL538" s="180"/>
      <c r="CM538" s="180"/>
      <c r="CN538" s="180"/>
      <c r="CO538" s="180"/>
      <c r="CP538" s="180"/>
      <c r="CQ538" s="180"/>
      <c r="CR538" s="180"/>
      <c r="CS538" s="180"/>
      <c r="CT538" s="180"/>
      <c r="CU538" s="180"/>
      <c r="CV538" s="180"/>
      <c r="CW538" s="180"/>
      <c r="CX538" s="180"/>
      <c r="CY538" s="180"/>
      <c r="CZ538" s="180"/>
    </row>
    <row r="539" spans="1:104" x14ac:dyDescent="0.45">
      <c r="A539" s="180" t="s">
        <v>182</v>
      </c>
      <c r="B539" s="73">
        <v>1</v>
      </c>
      <c r="C539" s="73"/>
      <c r="D539" s="180" t="s">
        <v>271</v>
      </c>
      <c r="E539" s="39">
        <v>43597</v>
      </c>
      <c r="F539" s="179">
        <v>0.375</v>
      </c>
      <c r="G539" s="180">
        <v>9</v>
      </c>
      <c r="H539" s="180"/>
      <c r="I539" s="180"/>
      <c r="J539" s="180"/>
      <c r="K539" s="180"/>
      <c r="L539" s="180"/>
      <c r="M539" s="180"/>
      <c r="N539" s="180"/>
      <c r="O539" s="180"/>
      <c r="P539" s="180"/>
      <c r="AS539" s="180"/>
      <c r="AT539" s="180"/>
      <c r="AU539" s="180"/>
      <c r="AV539" s="180"/>
      <c r="AW539" s="180"/>
      <c r="AX539" s="180"/>
      <c r="AY539" s="180"/>
      <c r="AZ539" s="180"/>
      <c r="BA539" s="180"/>
      <c r="BB539" s="180"/>
      <c r="BC539" s="180"/>
      <c r="BD539" s="180"/>
      <c r="BE539" s="180"/>
      <c r="BF539" s="180"/>
      <c r="BG539" s="180"/>
      <c r="BH539" s="180"/>
      <c r="BI539" s="180"/>
      <c r="BJ539" s="180"/>
      <c r="BK539" s="180"/>
      <c r="BL539" s="180"/>
      <c r="BM539" s="180"/>
      <c r="BN539" s="180"/>
      <c r="BO539" s="180"/>
      <c r="BP539" s="180"/>
      <c r="BQ539" s="180"/>
      <c r="BR539" s="180"/>
      <c r="BS539" s="180"/>
      <c r="BT539" s="180"/>
      <c r="BU539" s="180"/>
      <c r="BV539" s="180"/>
      <c r="BW539" s="180"/>
      <c r="BX539" s="180"/>
      <c r="BY539" s="180"/>
      <c r="BZ539" s="180"/>
      <c r="CA539" s="180"/>
      <c r="CB539" s="180"/>
      <c r="CC539" s="180"/>
      <c r="CD539" s="180"/>
      <c r="CE539" s="180"/>
      <c r="CF539" s="180"/>
      <c r="CG539" s="180"/>
      <c r="CH539" s="180"/>
      <c r="CI539" s="180"/>
      <c r="CJ539" s="180"/>
      <c r="CK539" s="180"/>
      <c r="CL539" s="180"/>
      <c r="CM539" s="180"/>
      <c r="CN539" s="180"/>
      <c r="CO539" s="180"/>
      <c r="CP539" s="180"/>
      <c r="CQ539" s="180"/>
      <c r="CR539" s="180"/>
      <c r="CS539" s="180"/>
      <c r="CT539" s="180"/>
      <c r="CU539" s="180"/>
      <c r="CV539" s="180"/>
      <c r="CW539" s="180"/>
      <c r="CX539" s="180"/>
      <c r="CY539" s="180"/>
      <c r="CZ539" s="180"/>
    </row>
    <row r="540" spans="1:104" x14ac:dyDescent="0.45">
      <c r="A540" s="180" t="s">
        <v>182</v>
      </c>
      <c r="B540" s="73">
        <v>1</v>
      </c>
      <c r="C540" s="73">
        <v>1</v>
      </c>
      <c r="D540" s="180" t="s">
        <v>344</v>
      </c>
      <c r="E540" s="39">
        <v>43601</v>
      </c>
      <c r="F540" s="179">
        <v>0.83333333333333337</v>
      </c>
      <c r="G540" s="180">
        <v>1</v>
      </c>
      <c r="H540" s="180"/>
      <c r="I540" s="180"/>
      <c r="J540" s="180"/>
      <c r="K540" s="180"/>
      <c r="L540" s="180"/>
      <c r="M540" s="180"/>
      <c r="N540" s="180"/>
      <c r="O540" s="180"/>
      <c r="P540" s="180"/>
      <c r="AS540" s="180"/>
      <c r="AT540" s="180"/>
      <c r="AU540" s="180"/>
      <c r="AV540" s="180"/>
      <c r="AW540" s="180"/>
      <c r="AX540" s="180"/>
      <c r="AY540" s="180"/>
      <c r="AZ540" s="180"/>
      <c r="BA540" s="180"/>
      <c r="BB540" s="180"/>
      <c r="BC540" s="180"/>
      <c r="BD540" s="180"/>
      <c r="BE540" s="180"/>
      <c r="BF540" s="180"/>
      <c r="BG540" s="180"/>
      <c r="BH540" s="180"/>
      <c r="BI540" s="180"/>
      <c r="BJ540" s="180"/>
      <c r="BK540" s="180"/>
      <c r="BL540" s="180"/>
      <c r="BM540" s="180"/>
      <c r="BN540" s="180"/>
      <c r="BO540" s="180"/>
      <c r="BP540" s="180"/>
      <c r="BQ540" s="180"/>
      <c r="BR540" s="180"/>
      <c r="BS540" s="180"/>
      <c r="BT540" s="180"/>
      <c r="BU540" s="180"/>
      <c r="BV540" s="180"/>
      <c r="BW540" s="180"/>
      <c r="BX540" s="180"/>
      <c r="BY540" s="180"/>
      <c r="BZ540" s="180"/>
      <c r="CA540" s="180"/>
      <c r="CB540" s="180"/>
      <c r="CC540" s="180"/>
      <c r="CD540" s="180"/>
      <c r="CE540" s="180"/>
      <c r="CF540" s="180"/>
      <c r="CG540" s="180"/>
      <c r="CH540" s="180"/>
      <c r="CI540" s="180"/>
      <c r="CJ540" s="180"/>
      <c r="CK540" s="180"/>
      <c r="CL540" s="180"/>
      <c r="CM540" s="180"/>
      <c r="CN540" s="180"/>
      <c r="CO540" s="180"/>
      <c r="CP540" s="180"/>
      <c r="CQ540" s="180"/>
      <c r="CR540" s="180"/>
      <c r="CS540" s="180"/>
      <c r="CT540" s="180"/>
      <c r="CU540" s="180"/>
      <c r="CV540" s="180"/>
      <c r="CW540" s="180"/>
      <c r="CX540" s="180"/>
      <c r="CY540" s="180"/>
      <c r="CZ540" s="180"/>
    </row>
    <row r="541" spans="1:104" x14ac:dyDescent="0.45">
      <c r="A541" s="1" t="s">
        <v>273</v>
      </c>
      <c r="B541" s="73"/>
      <c r="C541" s="73">
        <f>SUM(C528:C540)</f>
        <v>17</v>
      </c>
      <c r="D541" s="180"/>
      <c r="E541" s="39"/>
      <c r="F541" s="179"/>
      <c r="G541" s="180"/>
      <c r="H541" s="180"/>
      <c r="I541" s="180"/>
      <c r="J541" s="180"/>
      <c r="K541" s="180"/>
      <c r="L541" s="180"/>
      <c r="M541" s="180"/>
      <c r="N541" s="180"/>
      <c r="O541" s="180"/>
      <c r="P541" s="180"/>
      <c r="AS541" s="180"/>
      <c r="AT541" s="180"/>
      <c r="AU541" s="180"/>
      <c r="AV541" s="180"/>
      <c r="AW541" s="180"/>
      <c r="AX541" s="180"/>
      <c r="AY541" s="180"/>
      <c r="AZ541" s="180"/>
      <c r="BA541" s="180"/>
      <c r="BB541" s="180"/>
      <c r="BC541" s="180"/>
      <c r="BD541" s="180"/>
      <c r="BE541" s="180"/>
      <c r="BF541" s="180"/>
      <c r="BG541" s="180"/>
      <c r="BH541" s="180"/>
      <c r="BI541" s="180"/>
      <c r="BJ541" s="180"/>
      <c r="BK541" s="180"/>
      <c r="BL541" s="180"/>
      <c r="BM541" s="180"/>
      <c r="BN541" s="180"/>
      <c r="BO541" s="180"/>
      <c r="BP541" s="180"/>
      <c r="BQ541" s="180"/>
      <c r="BR541" s="180"/>
      <c r="BS541" s="180"/>
      <c r="BT541" s="180"/>
      <c r="BU541" s="180"/>
      <c r="BV541" s="180"/>
      <c r="BW541" s="180"/>
      <c r="BX541" s="180"/>
      <c r="BY541" s="180"/>
      <c r="BZ541" s="180"/>
      <c r="CA541" s="180"/>
      <c r="CB541" s="180"/>
      <c r="CC541" s="180"/>
      <c r="CD541" s="180"/>
      <c r="CE541" s="180"/>
      <c r="CF541" s="180"/>
      <c r="CG541" s="180"/>
      <c r="CH541" s="180"/>
      <c r="CI541" s="180"/>
      <c r="CJ541" s="180"/>
      <c r="CK541" s="180"/>
      <c r="CL541" s="180"/>
      <c r="CM541" s="180"/>
      <c r="CN541" s="180"/>
      <c r="CO541" s="180"/>
      <c r="CP541" s="180"/>
      <c r="CQ541" s="180"/>
      <c r="CR541" s="180"/>
      <c r="CS541" s="180"/>
      <c r="CT541" s="180"/>
      <c r="CU541" s="180"/>
      <c r="CV541" s="180"/>
      <c r="CW541" s="180"/>
      <c r="CX541" s="180"/>
      <c r="CY541" s="180"/>
      <c r="CZ541" s="180"/>
    </row>
    <row r="542" spans="1:104" x14ac:dyDescent="0.45">
      <c r="A542" s="1"/>
      <c r="B542" s="73"/>
      <c r="C542" s="73"/>
      <c r="D542" s="180"/>
      <c r="E542" s="39"/>
      <c r="F542" s="179"/>
      <c r="G542" s="180"/>
      <c r="H542" s="180"/>
      <c r="I542" s="180"/>
      <c r="J542" s="180"/>
      <c r="K542" s="180"/>
      <c r="L542" s="180"/>
      <c r="M542" s="180"/>
      <c r="N542" s="180"/>
      <c r="O542" s="180"/>
      <c r="P542" s="180"/>
      <c r="AS542" s="180"/>
      <c r="AT542" s="180"/>
      <c r="AU542" s="180"/>
      <c r="AV542" s="180"/>
      <c r="AW542" s="180"/>
      <c r="AX542" s="180"/>
      <c r="AY542" s="180"/>
      <c r="AZ542" s="180"/>
      <c r="BA542" s="180"/>
      <c r="BB542" s="180"/>
      <c r="BC542" s="180"/>
      <c r="BD542" s="180"/>
      <c r="BE542" s="180"/>
      <c r="BF542" s="180"/>
      <c r="BG542" s="180"/>
      <c r="BH542" s="180"/>
      <c r="BI542" s="180"/>
      <c r="BJ542" s="180"/>
      <c r="BK542" s="180"/>
      <c r="BL542" s="180"/>
      <c r="BM542" s="180"/>
      <c r="BN542" s="180"/>
      <c r="BO542" s="180"/>
      <c r="BP542" s="180"/>
      <c r="BQ542" s="180"/>
      <c r="BR542" s="180"/>
      <c r="BS542" s="180"/>
      <c r="BT542" s="180"/>
      <c r="BU542" s="180"/>
      <c r="BV542" s="180"/>
      <c r="BW542" s="180"/>
      <c r="BX542" s="180"/>
      <c r="BY542" s="180"/>
      <c r="BZ542" s="180"/>
      <c r="CA542" s="180"/>
      <c r="CB542" s="180"/>
      <c r="CC542" s="180"/>
      <c r="CD542" s="180"/>
      <c r="CE542" s="180"/>
      <c r="CF542" s="180"/>
      <c r="CG542" s="180"/>
      <c r="CH542" s="180"/>
      <c r="CI542" s="180"/>
      <c r="CJ542" s="180"/>
      <c r="CK542" s="180"/>
      <c r="CL542" s="180"/>
      <c r="CM542" s="180"/>
      <c r="CN542" s="180"/>
      <c r="CO542" s="180"/>
      <c r="CP542" s="180"/>
      <c r="CQ542" s="180"/>
      <c r="CR542" s="180"/>
      <c r="CS542" s="180"/>
      <c r="CT542" s="180"/>
      <c r="CU542" s="180"/>
      <c r="CV542" s="180"/>
      <c r="CW542" s="180"/>
      <c r="CX542" s="180"/>
      <c r="CY542" s="180"/>
      <c r="CZ542" s="180"/>
    </row>
    <row r="543" spans="1:104" x14ac:dyDescent="0.45">
      <c r="A543" s="180" t="s">
        <v>51</v>
      </c>
      <c r="B543" s="73">
        <v>1</v>
      </c>
      <c r="C543" s="73">
        <v>1</v>
      </c>
      <c r="D543" s="180" t="s">
        <v>271</v>
      </c>
      <c r="E543" s="39">
        <v>43589</v>
      </c>
      <c r="F543" s="179">
        <v>0.73541666666666661</v>
      </c>
      <c r="G543" s="180">
        <v>1</v>
      </c>
      <c r="H543" s="180"/>
      <c r="I543" s="180"/>
      <c r="J543" s="180"/>
      <c r="K543" s="180"/>
      <c r="L543" s="180"/>
      <c r="M543" s="180"/>
      <c r="N543" s="180"/>
      <c r="O543" s="180"/>
      <c r="P543" s="180"/>
      <c r="AS543" s="180"/>
      <c r="AT543" s="180"/>
      <c r="AU543" s="180"/>
      <c r="AV543" s="180"/>
      <c r="AW543" s="180"/>
      <c r="AX543" s="180"/>
      <c r="AY543" s="180"/>
      <c r="AZ543" s="180"/>
      <c r="BA543" s="180"/>
      <c r="BB543" s="180"/>
      <c r="BC543" s="180"/>
      <c r="BD543" s="180"/>
      <c r="BE543" s="180"/>
      <c r="BF543" s="180"/>
      <c r="BG543" s="180"/>
      <c r="BH543" s="180"/>
      <c r="BI543" s="180"/>
      <c r="BJ543" s="180"/>
      <c r="BK543" s="180"/>
      <c r="BL543" s="180"/>
      <c r="BM543" s="180"/>
      <c r="BN543" s="180"/>
      <c r="BO543" s="180"/>
      <c r="BP543" s="180"/>
      <c r="BQ543" s="180"/>
      <c r="BR543" s="180"/>
      <c r="BS543" s="180"/>
      <c r="BT543" s="180"/>
      <c r="BU543" s="180"/>
      <c r="BV543" s="180"/>
      <c r="BW543" s="180"/>
      <c r="BX543" s="180"/>
      <c r="BY543" s="180"/>
      <c r="BZ543" s="180"/>
      <c r="CA543" s="180"/>
      <c r="CB543" s="180"/>
      <c r="CC543" s="180"/>
      <c r="CD543" s="180"/>
      <c r="CE543" s="180"/>
      <c r="CF543" s="180"/>
      <c r="CG543" s="180"/>
      <c r="CH543" s="180"/>
      <c r="CI543" s="180"/>
      <c r="CJ543" s="180"/>
      <c r="CK543" s="180"/>
      <c r="CL543" s="180"/>
      <c r="CM543" s="180"/>
      <c r="CN543" s="180"/>
      <c r="CO543" s="180"/>
      <c r="CP543" s="180"/>
      <c r="CQ543" s="180"/>
      <c r="CR543" s="180"/>
      <c r="CS543" s="180"/>
      <c r="CT543" s="180"/>
      <c r="CU543" s="180"/>
      <c r="CV543" s="180"/>
      <c r="CW543" s="180"/>
      <c r="CX543" s="180"/>
      <c r="CY543" s="180"/>
      <c r="CZ543" s="180"/>
    </row>
    <row r="544" spans="1:104" x14ac:dyDescent="0.45">
      <c r="A544" s="180" t="s">
        <v>51</v>
      </c>
      <c r="B544" s="73">
        <v>1</v>
      </c>
      <c r="C544" s="73">
        <v>1</v>
      </c>
      <c r="D544" s="180" t="s">
        <v>309</v>
      </c>
      <c r="E544" s="39">
        <v>43596</v>
      </c>
      <c r="F544" s="179">
        <v>0.32569444444444445</v>
      </c>
      <c r="G544" s="180">
        <v>3</v>
      </c>
      <c r="H544" s="180" t="s">
        <v>361</v>
      </c>
      <c r="I544" s="180"/>
      <c r="J544" s="180"/>
      <c r="K544" s="180"/>
      <c r="L544" s="180"/>
      <c r="M544" s="180"/>
      <c r="N544" s="180"/>
      <c r="O544" s="180"/>
      <c r="P544" s="180"/>
      <c r="AS544" s="180"/>
      <c r="AT544" s="180"/>
      <c r="AU544" s="180"/>
      <c r="AV544" s="180"/>
      <c r="AW544" s="180"/>
      <c r="AX544" s="180"/>
      <c r="AY544" s="180"/>
      <c r="AZ544" s="180"/>
      <c r="BA544" s="180"/>
      <c r="BB544" s="180"/>
      <c r="BC544" s="180"/>
      <c r="BD544" s="180"/>
      <c r="BE544" s="180"/>
      <c r="BF544" s="180"/>
      <c r="BG544" s="180"/>
      <c r="BH544" s="180"/>
      <c r="BI544" s="180"/>
      <c r="BJ544" s="180"/>
      <c r="BK544" s="180"/>
      <c r="BL544" s="180"/>
      <c r="BM544" s="180"/>
      <c r="BN544" s="180"/>
      <c r="BO544" s="180"/>
      <c r="BP544" s="180"/>
      <c r="BQ544" s="180"/>
      <c r="BR544" s="180"/>
      <c r="BS544" s="180"/>
      <c r="BT544" s="180"/>
      <c r="BU544" s="180"/>
      <c r="BV544" s="180"/>
      <c r="BW544" s="180"/>
      <c r="BX544" s="180"/>
      <c r="BY544" s="180"/>
      <c r="BZ544" s="180"/>
      <c r="CA544" s="180"/>
      <c r="CB544" s="180"/>
      <c r="CC544" s="180"/>
      <c r="CD544" s="180"/>
      <c r="CE544" s="180"/>
      <c r="CF544" s="180"/>
      <c r="CG544" s="180"/>
      <c r="CH544" s="180"/>
      <c r="CI544" s="180"/>
      <c r="CJ544" s="180"/>
      <c r="CK544" s="180"/>
      <c r="CL544" s="180"/>
      <c r="CM544" s="180"/>
      <c r="CN544" s="180"/>
      <c r="CO544" s="180"/>
      <c r="CP544" s="180"/>
      <c r="CQ544" s="180"/>
      <c r="CR544" s="180"/>
      <c r="CS544" s="180"/>
      <c r="CT544" s="180"/>
      <c r="CU544" s="180"/>
      <c r="CV544" s="180"/>
      <c r="CW544" s="180"/>
      <c r="CX544" s="180"/>
      <c r="CY544" s="180"/>
      <c r="CZ544" s="180"/>
    </row>
    <row r="545" spans="1:104" x14ac:dyDescent="0.45">
      <c r="A545" s="180" t="s">
        <v>51</v>
      </c>
      <c r="B545" s="73">
        <v>1</v>
      </c>
      <c r="C545" s="73"/>
      <c r="D545" s="180" t="s">
        <v>309</v>
      </c>
      <c r="E545" s="39">
        <v>43596</v>
      </c>
      <c r="F545" s="179">
        <v>0.32291666666666669</v>
      </c>
      <c r="G545" s="180">
        <v>1</v>
      </c>
      <c r="H545" s="180" t="s">
        <v>364</v>
      </c>
      <c r="I545" s="180" t="s">
        <v>377</v>
      </c>
      <c r="J545" s="180"/>
      <c r="K545" s="180"/>
      <c r="L545" s="180"/>
      <c r="M545" s="180"/>
      <c r="N545" s="180"/>
      <c r="O545" s="180"/>
      <c r="P545" s="180"/>
      <c r="AS545" s="180"/>
      <c r="AT545" s="180"/>
      <c r="AU545" s="180"/>
      <c r="AV545" s="180"/>
      <c r="AW545" s="180"/>
      <c r="AX545" s="180"/>
      <c r="AY545" s="180"/>
      <c r="AZ545" s="180"/>
      <c r="BA545" s="180"/>
      <c r="BB545" s="180"/>
      <c r="BC545" s="180"/>
      <c r="BD545" s="180"/>
      <c r="BE545" s="180"/>
      <c r="BF545" s="180"/>
      <c r="BG545" s="180"/>
      <c r="BH545" s="180"/>
      <c r="BI545" s="180"/>
      <c r="BJ545" s="180"/>
      <c r="BK545" s="180"/>
      <c r="BL545" s="180"/>
      <c r="BM545" s="180"/>
      <c r="BN545" s="180"/>
      <c r="BO545" s="180"/>
      <c r="BP545" s="180"/>
      <c r="BQ545" s="180"/>
      <c r="BR545" s="180"/>
      <c r="BS545" s="180"/>
      <c r="BT545" s="180"/>
      <c r="BU545" s="180"/>
      <c r="BV545" s="180"/>
      <c r="BW545" s="180"/>
      <c r="BX545" s="180"/>
      <c r="BY545" s="180"/>
      <c r="BZ545" s="180"/>
      <c r="CA545" s="180"/>
      <c r="CB545" s="180"/>
      <c r="CC545" s="180"/>
      <c r="CD545" s="180"/>
      <c r="CE545" s="180"/>
      <c r="CF545" s="180"/>
      <c r="CG545" s="180"/>
      <c r="CH545" s="180"/>
      <c r="CI545" s="180"/>
      <c r="CJ545" s="180"/>
      <c r="CK545" s="180"/>
      <c r="CL545" s="180"/>
      <c r="CM545" s="180"/>
      <c r="CN545" s="180"/>
      <c r="CO545" s="180"/>
      <c r="CP545" s="180"/>
      <c r="CQ545" s="180"/>
      <c r="CR545" s="180"/>
      <c r="CS545" s="180"/>
      <c r="CT545" s="180"/>
      <c r="CU545" s="180"/>
      <c r="CV545" s="180"/>
      <c r="CW545" s="180"/>
      <c r="CX545" s="180"/>
      <c r="CY545" s="180"/>
      <c r="CZ545" s="180"/>
    </row>
    <row r="546" spans="1:104" x14ac:dyDescent="0.45">
      <c r="A546" s="180" t="s">
        <v>51</v>
      </c>
      <c r="B546" s="73">
        <v>1</v>
      </c>
      <c r="C546" s="73">
        <v>1</v>
      </c>
      <c r="D546" s="180" t="s">
        <v>317</v>
      </c>
      <c r="E546" s="39">
        <v>43603</v>
      </c>
      <c r="F546" s="179">
        <v>0.70694444444444438</v>
      </c>
      <c r="G546" s="180">
        <v>7</v>
      </c>
      <c r="H546" s="180" t="s">
        <v>407</v>
      </c>
      <c r="I546" s="180"/>
      <c r="J546" s="180"/>
      <c r="K546" s="180"/>
      <c r="L546" s="180"/>
      <c r="M546" s="180"/>
      <c r="N546" s="180"/>
      <c r="O546" s="180"/>
      <c r="P546" s="180"/>
      <c r="AS546" s="180"/>
      <c r="AT546" s="180"/>
      <c r="AU546" s="180"/>
      <c r="AV546" s="180"/>
      <c r="AW546" s="180"/>
      <c r="AX546" s="180"/>
      <c r="AY546" s="180"/>
      <c r="AZ546" s="180"/>
      <c r="BA546" s="180"/>
      <c r="BB546" s="180"/>
      <c r="BC546" s="180"/>
      <c r="BD546" s="180"/>
      <c r="BE546" s="180"/>
      <c r="BF546" s="180"/>
      <c r="BG546" s="180"/>
      <c r="BH546" s="180"/>
      <c r="BI546" s="180"/>
      <c r="BJ546" s="180"/>
      <c r="BK546" s="180"/>
      <c r="BL546" s="180"/>
      <c r="BM546" s="180"/>
      <c r="BN546" s="180"/>
      <c r="BO546" s="180"/>
      <c r="BP546" s="180"/>
      <c r="BQ546" s="180"/>
      <c r="BR546" s="180"/>
      <c r="BS546" s="180"/>
      <c r="BT546" s="180"/>
      <c r="BU546" s="180"/>
      <c r="BV546" s="180"/>
      <c r="BW546" s="180"/>
      <c r="BX546" s="180"/>
      <c r="BY546" s="180"/>
      <c r="BZ546" s="180"/>
      <c r="CA546" s="180"/>
      <c r="CB546" s="180"/>
      <c r="CC546" s="180"/>
      <c r="CD546" s="180"/>
      <c r="CE546" s="180"/>
      <c r="CF546" s="180"/>
      <c r="CG546" s="180"/>
      <c r="CH546" s="180"/>
      <c r="CI546" s="180"/>
      <c r="CJ546" s="180"/>
      <c r="CK546" s="180"/>
      <c r="CL546" s="180"/>
      <c r="CM546" s="180"/>
      <c r="CN546" s="180"/>
      <c r="CO546" s="180"/>
      <c r="CP546" s="180"/>
      <c r="CQ546" s="180"/>
      <c r="CR546" s="180"/>
      <c r="CS546" s="180"/>
      <c r="CT546" s="180"/>
      <c r="CU546" s="180"/>
      <c r="CV546" s="180"/>
      <c r="CW546" s="180"/>
      <c r="CX546" s="180"/>
      <c r="CY546" s="180"/>
      <c r="CZ546" s="180"/>
    </row>
    <row r="547" spans="1:104" x14ac:dyDescent="0.45">
      <c r="A547" s="180" t="s">
        <v>51</v>
      </c>
      <c r="B547" s="73">
        <v>1</v>
      </c>
      <c r="C547" s="73"/>
      <c r="D547" s="180" t="s">
        <v>317</v>
      </c>
      <c r="E547" s="39">
        <v>43603</v>
      </c>
      <c r="F547" s="179">
        <v>0.70694444444444438</v>
      </c>
      <c r="G547" s="180">
        <v>7</v>
      </c>
      <c r="H547" s="180" t="s">
        <v>407</v>
      </c>
      <c r="I547" s="180"/>
      <c r="J547" s="180"/>
      <c r="K547" s="180"/>
      <c r="L547" s="180"/>
      <c r="M547" s="180"/>
      <c r="N547" s="180"/>
      <c r="O547" s="180"/>
      <c r="P547" s="180"/>
      <c r="AS547" s="180"/>
      <c r="AT547" s="180"/>
      <c r="AU547" s="180"/>
      <c r="AV547" s="180"/>
      <c r="AW547" s="180"/>
      <c r="AX547" s="180"/>
      <c r="AY547" s="180"/>
      <c r="AZ547" s="180"/>
      <c r="BA547" s="180"/>
      <c r="BB547" s="180"/>
      <c r="BC547" s="180"/>
      <c r="BD547" s="180"/>
      <c r="BE547" s="180"/>
      <c r="BF547" s="180"/>
      <c r="BG547" s="180"/>
      <c r="BH547" s="180"/>
      <c r="BI547" s="180"/>
      <c r="BJ547" s="180"/>
      <c r="BK547" s="180"/>
      <c r="BL547" s="180"/>
      <c r="BM547" s="180"/>
      <c r="BN547" s="180"/>
      <c r="BO547" s="180"/>
      <c r="BP547" s="180"/>
      <c r="BQ547" s="180"/>
      <c r="BR547" s="180"/>
      <c r="BS547" s="180"/>
      <c r="BT547" s="180"/>
      <c r="BU547" s="180"/>
      <c r="BV547" s="180"/>
      <c r="BW547" s="180"/>
      <c r="BX547" s="180"/>
      <c r="BY547" s="180"/>
      <c r="BZ547" s="180"/>
      <c r="CA547" s="180"/>
      <c r="CB547" s="180"/>
      <c r="CC547" s="180"/>
      <c r="CD547" s="180"/>
      <c r="CE547" s="180"/>
      <c r="CF547" s="180"/>
      <c r="CG547" s="180"/>
      <c r="CH547" s="180"/>
      <c r="CI547" s="180"/>
      <c r="CJ547" s="180"/>
      <c r="CK547" s="180"/>
      <c r="CL547" s="180"/>
      <c r="CM547" s="180"/>
      <c r="CN547" s="180"/>
      <c r="CO547" s="180"/>
      <c r="CP547" s="180"/>
      <c r="CQ547" s="180"/>
      <c r="CR547" s="180"/>
      <c r="CS547" s="180"/>
      <c r="CT547" s="180"/>
      <c r="CU547" s="180"/>
      <c r="CV547" s="180"/>
      <c r="CW547" s="180"/>
      <c r="CX547" s="180"/>
      <c r="CY547" s="180"/>
      <c r="CZ547" s="180"/>
    </row>
    <row r="548" spans="1:104" x14ac:dyDescent="0.45">
      <c r="A548" s="180" t="s">
        <v>51</v>
      </c>
      <c r="B548" s="73">
        <v>1</v>
      </c>
      <c r="C548" s="73"/>
      <c r="D548" s="180" t="s">
        <v>317</v>
      </c>
      <c r="E548" s="39">
        <v>43603</v>
      </c>
      <c r="F548" s="179">
        <v>0.70694444444444438</v>
      </c>
      <c r="G548" s="180">
        <v>7</v>
      </c>
      <c r="H548" s="180" t="s">
        <v>407</v>
      </c>
      <c r="I548" s="180"/>
      <c r="J548" s="180"/>
      <c r="K548" s="180"/>
      <c r="L548" s="180"/>
      <c r="M548" s="180"/>
      <c r="N548" s="180"/>
      <c r="O548" s="180"/>
      <c r="P548" s="180"/>
      <c r="AS548" s="180"/>
      <c r="AT548" s="180"/>
      <c r="AU548" s="180"/>
      <c r="AV548" s="180"/>
      <c r="AW548" s="180"/>
      <c r="AX548" s="180"/>
      <c r="AY548" s="180"/>
      <c r="AZ548" s="180"/>
      <c r="BA548" s="180"/>
      <c r="BB548" s="180"/>
      <c r="BC548" s="180"/>
      <c r="BD548" s="180"/>
      <c r="BE548" s="180"/>
      <c r="BF548" s="180"/>
      <c r="BG548" s="180"/>
      <c r="BH548" s="180"/>
      <c r="BI548" s="180"/>
      <c r="BJ548" s="180"/>
      <c r="BK548" s="180"/>
      <c r="BL548" s="180"/>
      <c r="BM548" s="180"/>
      <c r="BN548" s="180"/>
      <c r="BO548" s="180"/>
      <c r="BP548" s="180"/>
      <c r="BQ548" s="180"/>
      <c r="BR548" s="180"/>
      <c r="BS548" s="180"/>
      <c r="BT548" s="180"/>
      <c r="BU548" s="180"/>
      <c r="BV548" s="180"/>
      <c r="BW548" s="180"/>
      <c r="BX548" s="180"/>
      <c r="BY548" s="180"/>
      <c r="BZ548" s="180"/>
      <c r="CA548" s="180"/>
      <c r="CB548" s="180"/>
      <c r="CC548" s="180"/>
      <c r="CD548" s="180"/>
      <c r="CE548" s="180"/>
      <c r="CF548" s="180"/>
      <c r="CG548" s="180"/>
      <c r="CH548" s="180"/>
      <c r="CI548" s="180"/>
      <c r="CJ548" s="180"/>
      <c r="CK548" s="180"/>
      <c r="CL548" s="180"/>
      <c r="CM548" s="180"/>
      <c r="CN548" s="180"/>
      <c r="CO548" s="180"/>
      <c r="CP548" s="180"/>
      <c r="CQ548" s="180"/>
      <c r="CR548" s="180"/>
      <c r="CS548" s="180"/>
      <c r="CT548" s="180"/>
      <c r="CU548" s="180"/>
      <c r="CV548" s="180"/>
      <c r="CW548" s="180"/>
      <c r="CX548" s="180"/>
      <c r="CY548" s="180"/>
      <c r="CZ548" s="180"/>
    </row>
    <row r="549" spans="1:104" x14ac:dyDescent="0.45">
      <c r="A549" s="180" t="s">
        <v>51</v>
      </c>
      <c r="B549" s="73">
        <v>1</v>
      </c>
      <c r="C549" s="73"/>
      <c r="D549" s="180" t="s">
        <v>311</v>
      </c>
      <c r="E549" s="39">
        <v>43603</v>
      </c>
      <c r="F549" s="179">
        <v>0.70833333333333337</v>
      </c>
      <c r="G549" s="180">
        <v>11</v>
      </c>
      <c r="H549" s="180" t="s">
        <v>408</v>
      </c>
      <c r="I549" s="180"/>
      <c r="J549" s="180"/>
      <c r="K549" s="180"/>
      <c r="L549" s="180"/>
      <c r="M549" s="180"/>
      <c r="N549" s="180"/>
      <c r="O549" s="180"/>
      <c r="P549" s="180"/>
      <c r="AS549" s="180"/>
      <c r="AT549" s="180"/>
      <c r="AU549" s="180"/>
      <c r="AV549" s="180"/>
      <c r="AW549" s="180"/>
      <c r="AX549" s="180"/>
      <c r="AY549" s="180"/>
      <c r="AZ549" s="180"/>
      <c r="BA549" s="180"/>
      <c r="BB549" s="180"/>
      <c r="BC549" s="180"/>
      <c r="BD549" s="180"/>
      <c r="BE549" s="180"/>
      <c r="BF549" s="180"/>
      <c r="BG549" s="180"/>
      <c r="BH549" s="180"/>
      <c r="BI549" s="180"/>
      <c r="BJ549" s="180"/>
      <c r="BK549" s="180"/>
      <c r="BL549" s="180"/>
      <c r="BM549" s="180"/>
      <c r="BN549" s="180"/>
      <c r="BO549" s="180"/>
      <c r="BP549" s="180"/>
      <c r="BQ549" s="180"/>
      <c r="BR549" s="180"/>
      <c r="BS549" s="180"/>
      <c r="BT549" s="180"/>
      <c r="BU549" s="180"/>
      <c r="BV549" s="180"/>
      <c r="BW549" s="180"/>
      <c r="BX549" s="180"/>
      <c r="BY549" s="180"/>
      <c r="BZ549" s="180"/>
      <c r="CA549" s="180"/>
      <c r="CB549" s="180"/>
      <c r="CC549" s="180"/>
      <c r="CD549" s="180"/>
      <c r="CE549" s="180"/>
      <c r="CF549" s="180"/>
      <c r="CG549" s="180"/>
      <c r="CH549" s="180"/>
      <c r="CI549" s="180"/>
      <c r="CJ549" s="180"/>
      <c r="CK549" s="180"/>
      <c r="CL549" s="180"/>
      <c r="CM549" s="180"/>
      <c r="CN549" s="180"/>
      <c r="CO549" s="180"/>
      <c r="CP549" s="180"/>
      <c r="CQ549" s="180"/>
      <c r="CR549" s="180"/>
      <c r="CS549" s="180"/>
      <c r="CT549" s="180"/>
      <c r="CU549" s="180"/>
      <c r="CV549" s="180"/>
      <c r="CW549" s="180"/>
      <c r="CX549" s="180"/>
      <c r="CY549" s="180"/>
      <c r="CZ549" s="180"/>
    </row>
    <row r="550" spans="1:104" x14ac:dyDescent="0.45">
      <c r="A550" s="1" t="s">
        <v>273</v>
      </c>
      <c r="B550" s="73"/>
      <c r="C550" s="73">
        <f>SUM(C543:C549)</f>
        <v>3</v>
      </c>
      <c r="D550" s="180"/>
      <c r="E550" s="39"/>
      <c r="F550" s="179"/>
      <c r="G550" s="180"/>
      <c r="H550" s="180"/>
      <c r="I550" s="180"/>
      <c r="J550" s="180"/>
      <c r="K550" s="180"/>
      <c r="L550" s="180"/>
      <c r="M550" s="180"/>
      <c r="N550" s="180"/>
      <c r="O550" s="180"/>
      <c r="P550" s="180"/>
      <c r="AS550" s="180"/>
      <c r="AT550" s="180"/>
      <c r="AU550" s="180"/>
      <c r="AV550" s="180"/>
      <c r="AW550" s="180"/>
      <c r="AX550" s="180"/>
      <c r="AY550" s="180"/>
      <c r="AZ550" s="180"/>
      <c r="BA550" s="180"/>
      <c r="BB550" s="180"/>
      <c r="BC550" s="180"/>
      <c r="BD550" s="180"/>
      <c r="BE550" s="180"/>
      <c r="BF550" s="180"/>
      <c r="BG550" s="180"/>
      <c r="BH550" s="180"/>
      <c r="BI550" s="180"/>
      <c r="BJ550" s="180"/>
      <c r="BK550" s="180"/>
      <c r="BL550" s="180"/>
      <c r="BM550" s="180"/>
      <c r="BN550" s="180"/>
      <c r="BO550" s="180"/>
      <c r="BP550" s="180"/>
      <c r="BQ550" s="180"/>
      <c r="BR550" s="180"/>
      <c r="BS550" s="180"/>
      <c r="BT550" s="180"/>
      <c r="BU550" s="180"/>
      <c r="BV550" s="180"/>
      <c r="BW550" s="180"/>
      <c r="BX550" s="180"/>
      <c r="BY550" s="180"/>
      <c r="BZ550" s="180"/>
      <c r="CA550" s="180"/>
      <c r="CB550" s="180"/>
      <c r="CC550" s="180"/>
      <c r="CD550" s="180"/>
      <c r="CE550" s="180"/>
      <c r="CF550" s="180"/>
      <c r="CG550" s="180"/>
      <c r="CH550" s="180"/>
      <c r="CI550" s="180"/>
      <c r="CJ550" s="180"/>
      <c r="CK550" s="180"/>
      <c r="CL550" s="180"/>
      <c r="CM550" s="180"/>
      <c r="CN550" s="180"/>
      <c r="CO550" s="180"/>
      <c r="CP550" s="180"/>
      <c r="CQ550" s="180"/>
      <c r="CR550" s="180"/>
      <c r="CS550" s="180"/>
      <c r="CT550" s="180"/>
      <c r="CU550" s="180"/>
      <c r="CV550" s="180"/>
      <c r="CW550" s="180"/>
      <c r="CX550" s="180"/>
      <c r="CY550" s="180"/>
      <c r="CZ550" s="180"/>
    </row>
    <row r="551" spans="1:104" x14ac:dyDescent="0.45">
      <c r="A551" s="1"/>
      <c r="B551" s="73"/>
      <c r="C551" s="73"/>
      <c r="D551" s="180"/>
      <c r="E551" s="39"/>
      <c r="F551" s="179"/>
      <c r="G551" s="180"/>
      <c r="H551" s="180"/>
      <c r="I551" s="180"/>
      <c r="J551" s="180"/>
      <c r="K551" s="180"/>
      <c r="L551" s="180"/>
      <c r="M551" s="180"/>
      <c r="N551" s="180"/>
      <c r="O551" s="180"/>
      <c r="P551" s="180"/>
      <c r="AS551" s="180"/>
      <c r="AT551" s="180"/>
      <c r="AU551" s="180"/>
      <c r="AV551" s="180"/>
      <c r="AW551" s="180"/>
      <c r="AX551" s="180"/>
      <c r="AY551" s="180"/>
      <c r="AZ551" s="180"/>
      <c r="BA551" s="180"/>
      <c r="BB551" s="180"/>
      <c r="BC551" s="180"/>
      <c r="BD551" s="180"/>
      <c r="BE551" s="180"/>
      <c r="BF551" s="180"/>
      <c r="BG551" s="180"/>
      <c r="BH551" s="180"/>
      <c r="BI551" s="180"/>
      <c r="BJ551" s="180"/>
      <c r="BK551" s="180"/>
      <c r="BL551" s="180"/>
      <c r="BM551" s="180"/>
      <c r="BN551" s="180"/>
      <c r="BO551" s="180"/>
      <c r="BP551" s="180"/>
      <c r="BQ551" s="180"/>
      <c r="BR551" s="180"/>
      <c r="BS551" s="180"/>
      <c r="BT551" s="180"/>
      <c r="BU551" s="180"/>
      <c r="BV551" s="180"/>
      <c r="BW551" s="180"/>
      <c r="BX551" s="180"/>
      <c r="BY551" s="180"/>
      <c r="BZ551" s="180"/>
      <c r="CA551" s="180"/>
      <c r="CB551" s="180"/>
      <c r="CC551" s="180"/>
      <c r="CD551" s="180"/>
      <c r="CE551" s="180"/>
      <c r="CF551" s="180"/>
      <c r="CG551" s="180"/>
      <c r="CH551" s="180"/>
      <c r="CI551" s="180"/>
      <c r="CJ551" s="180"/>
      <c r="CK551" s="180"/>
      <c r="CL551" s="180"/>
      <c r="CM551" s="180"/>
      <c r="CN551" s="180"/>
      <c r="CO551" s="180"/>
      <c r="CP551" s="180"/>
      <c r="CQ551" s="180"/>
      <c r="CR551" s="180"/>
      <c r="CS551" s="180"/>
      <c r="CT551" s="180"/>
      <c r="CU551" s="180"/>
      <c r="CV551" s="180"/>
      <c r="CW551" s="180"/>
      <c r="CX551" s="180"/>
      <c r="CY551" s="180"/>
      <c r="CZ551" s="180"/>
    </row>
    <row r="552" spans="1:104" x14ac:dyDescent="0.45">
      <c r="A552" s="180" t="s">
        <v>12</v>
      </c>
      <c r="B552" s="73">
        <v>4</v>
      </c>
      <c r="C552" s="73">
        <v>4</v>
      </c>
      <c r="D552" s="180" t="s">
        <v>128</v>
      </c>
      <c r="E552" s="39">
        <v>43585</v>
      </c>
      <c r="F552" s="179">
        <v>0.54097222222222219</v>
      </c>
      <c r="G552" s="180">
        <v>1</v>
      </c>
      <c r="H552" s="180"/>
      <c r="I552" s="180"/>
      <c r="J552" s="180"/>
      <c r="K552" s="180"/>
      <c r="L552" s="180"/>
      <c r="M552" s="180"/>
      <c r="N552" s="180"/>
      <c r="O552" s="180"/>
      <c r="P552" s="180"/>
      <c r="AS552" s="180"/>
      <c r="AT552" s="180"/>
      <c r="AU552" s="180"/>
      <c r="AV552" s="180"/>
      <c r="AW552" s="180"/>
      <c r="AX552" s="180"/>
      <c r="AY552" s="180"/>
      <c r="AZ552" s="180"/>
      <c r="BA552" s="180"/>
      <c r="BB552" s="180"/>
      <c r="BC552" s="180"/>
      <c r="BD552" s="180"/>
      <c r="BE552" s="180"/>
      <c r="BF552" s="180"/>
      <c r="BG552" s="180"/>
      <c r="BH552" s="180"/>
      <c r="BI552" s="180"/>
      <c r="BJ552" s="180"/>
      <c r="BK552" s="180"/>
      <c r="BL552" s="180"/>
      <c r="BM552" s="180"/>
      <c r="BN552" s="180"/>
      <c r="BO552" s="180"/>
      <c r="BP552" s="180"/>
      <c r="BQ552" s="180"/>
      <c r="BR552" s="180"/>
      <c r="BS552" s="180"/>
      <c r="BT552" s="180"/>
      <c r="BU552" s="180"/>
      <c r="BV552" s="180"/>
      <c r="BW552" s="180"/>
      <c r="BX552" s="180"/>
      <c r="BY552" s="180"/>
      <c r="BZ552" s="180"/>
      <c r="CA552" s="180"/>
      <c r="CB552" s="180"/>
      <c r="CC552" s="180"/>
      <c r="CD552" s="180"/>
      <c r="CE552" s="180"/>
      <c r="CF552" s="180"/>
      <c r="CG552" s="180"/>
      <c r="CH552" s="180"/>
      <c r="CI552" s="180"/>
      <c r="CJ552" s="180"/>
      <c r="CK552" s="180"/>
      <c r="CL552" s="180"/>
      <c r="CM552" s="180"/>
      <c r="CN552" s="180"/>
      <c r="CO552" s="180"/>
      <c r="CP552" s="180"/>
      <c r="CQ552" s="180"/>
      <c r="CR552" s="180"/>
      <c r="CS552" s="180"/>
      <c r="CT552" s="180"/>
      <c r="CU552" s="180"/>
      <c r="CV552" s="180"/>
      <c r="CW552" s="180"/>
      <c r="CX552" s="180"/>
      <c r="CY552" s="180"/>
      <c r="CZ552" s="180"/>
    </row>
    <row r="553" spans="1:104" x14ac:dyDescent="0.45">
      <c r="A553" s="180" t="s">
        <v>12</v>
      </c>
      <c r="B553" s="73">
        <v>1</v>
      </c>
      <c r="C553" s="73">
        <v>1</v>
      </c>
      <c r="D553" s="180" t="s">
        <v>271</v>
      </c>
      <c r="E553" s="39">
        <v>43585</v>
      </c>
      <c r="F553" s="179">
        <v>0.37361111111111112</v>
      </c>
      <c r="G553" s="180">
        <v>1</v>
      </c>
      <c r="H553" s="180"/>
      <c r="I553" s="180"/>
      <c r="J553" s="180"/>
      <c r="K553" s="180"/>
      <c r="L553" s="180"/>
      <c r="M553" s="180"/>
      <c r="N553" s="180"/>
      <c r="O553" s="180"/>
      <c r="P553" s="180"/>
      <c r="AS553" s="180"/>
      <c r="AT553" s="180"/>
      <c r="AU553" s="180"/>
      <c r="AV553" s="180"/>
      <c r="AW553" s="180"/>
      <c r="AX553" s="180"/>
      <c r="AY553" s="180"/>
      <c r="AZ553" s="180"/>
      <c r="BA553" s="180"/>
      <c r="BB553" s="180"/>
      <c r="BC553" s="180"/>
      <c r="BD553" s="180"/>
      <c r="BE553" s="180"/>
      <c r="BF553" s="180"/>
      <c r="BG553" s="180"/>
      <c r="BH553" s="180"/>
      <c r="BI553" s="180"/>
      <c r="BJ553" s="180"/>
      <c r="BK553" s="180"/>
      <c r="BL553" s="180"/>
      <c r="BM553" s="180"/>
      <c r="BN553" s="180"/>
      <c r="BO553" s="180"/>
      <c r="BP553" s="180"/>
      <c r="BQ553" s="180"/>
      <c r="BR553" s="180"/>
      <c r="BS553" s="180"/>
      <c r="BT553" s="180"/>
      <c r="BU553" s="180"/>
      <c r="BV553" s="180"/>
      <c r="BW553" s="180"/>
      <c r="BX553" s="180"/>
      <c r="BY553" s="180"/>
      <c r="BZ553" s="180"/>
      <c r="CA553" s="180"/>
      <c r="CB553" s="180"/>
      <c r="CC553" s="180"/>
      <c r="CD553" s="180"/>
      <c r="CE553" s="180"/>
      <c r="CF553" s="180"/>
      <c r="CG553" s="180"/>
      <c r="CH553" s="180"/>
      <c r="CI553" s="180"/>
      <c r="CJ553" s="180"/>
      <c r="CK553" s="180"/>
      <c r="CL553" s="180"/>
      <c r="CM553" s="180"/>
      <c r="CN553" s="180"/>
      <c r="CO553" s="180"/>
      <c r="CP553" s="180"/>
      <c r="CQ553" s="180"/>
      <c r="CR553" s="180"/>
      <c r="CS553" s="180"/>
      <c r="CT553" s="180"/>
      <c r="CU553" s="180"/>
      <c r="CV553" s="180"/>
      <c r="CW553" s="180"/>
      <c r="CX553" s="180"/>
      <c r="CY553" s="180"/>
      <c r="CZ553" s="180"/>
    </row>
    <row r="554" spans="1:104" x14ac:dyDescent="0.45">
      <c r="A554" s="180" t="s">
        <v>12</v>
      </c>
      <c r="B554" s="73">
        <v>8</v>
      </c>
      <c r="C554" s="73"/>
      <c r="D554" s="180" t="s">
        <v>128</v>
      </c>
      <c r="E554" s="39">
        <v>43588</v>
      </c>
      <c r="F554" s="179">
        <v>0.68125000000000002</v>
      </c>
      <c r="G554" s="180">
        <v>4</v>
      </c>
      <c r="H554" s="180" t="s">
        <v>310</v>
      </c>
      <c r="I554" s="180" t="s">
        <v>460</v>
      </c>
      <c r="J554" s="180"/>
      <c r="K554" s="180"/>
      <c r="L554" s="180"/>
      <c r="M554" s="180"/>
      <c r="N554" s="180"/>
      <c r="O554" s="180"/>
      <c r="P554" s="180"/>
      <c r="AS554" s="180"/>
      <c r="AT554" s="180"/>
      <c r="AU554" s="180"/>
      <c r="AV554" s="180"/>
      <c r="AW554" s="180"/>
      <c r="AX554" s="180"/>
      <c r="AY554" s="180"/>
      <c r="AZ554" s="180"/>
      <c r="BA554" s="180"/>
      <c r="BB554" s="180"/>
      <c r="BC554" s="180"/>
      <c r="BD554" s="180"/>
      <c r="BE554" s="180"/>
      <c r="BF554" s="180"/>
      <c r="BG554" s="180"/>
      <c r="BH554" s="180"/>
      <c r="BI554" s="180"/>
      <c r="BJ554" s="180"/>
      <c r="BK554" s="180"/>
      <c r="BL554" s="180"/>
      <c r="BM554" s="180"/>
      <c r="BN554" s="180"/>
      <c r="BO554" s="180"/>
      <c r="BP554" s="180"/>
      <c r="BQ554" s="180"/>
      <c r="BR554" s="180"/>
      <c r="BS554" s="180"/>
      <c r="BT554" s="180"/>
      <c r="BU554" s="180"/>
      <c r="BV554" s="180"/>
      <c r="BW554" s="180"/>
      <c r="BX554" s="180"/>
      <c r="BY554" s="180"/>
      <c r="BZ554" s="180"/>
      <c r="CA554" s="180"/>
      <c r="CB554" s="180"/>
      <c r="CC554" s="180"/>
      <c r="CD554" s="180"/>
      <c r="CE554" s="180"/>
      <c r="CF554" s="180"/>
      <c r="CG554" s="180"/>
      <c r="CH554" s="180"/>
      <c r="CI554" s="180"/>
      <c r="CJ554" s="180"/>
      <c r="CK554" s="180"/>
      <c r="CL554" s="180"/>
      <c r="CM554" s="180"/>
      <c r="CN554" s="180"/>
      <c r="CO554" s="180"/>
      <c r="CP554" s="180"/>
      <c r="CQ554" s="180"/>
      <c r="CR554" s="180"/>
      <c r="CS554" s="180"/>
      <c r="CT554" s="180"/>
      <c r="CU554" s="180"/>
      <c r="CV554" s="180"/>
      <c r="CW554" s="180"/>
      <c r="CX554" s="180"/>
      <c r="CY554" s="180"/>
      <c r="CZ554" s="180"/>
    </row>
    <row r="555" spans="1:104" x14ac:dyDescent="0.45">
      <c r="A555" s="180" t="s">
        <v>12</v>
      </c>
      <c r="B555" s="73">
        <v>8</v>
      </c>
      <c r="C555" s="73">
        <v>8</v>
      </c>
      <c r="D555" s="180" t="s">
        <v>311</v>
      </c>
      <c r="E555" s="39">
        <v>43588</v>
      </c>
      <c r="F555" s="179">
        <v>0.67708333333333337</v>
      </c>
      <c r="G555" s="180">
        <v>9</v>
      </c>
      <c r="H555" s="180" t="s">
        <v>312</v>
      </c>
      <c r="I555" s="180"/>
      <c r="J555" s="180"/>
      <c r="K555" s="180"/>
      <c r="L555" s="180"/>
      <c r="M555" s="180"/>
      <c r="N555" s="180"/>
      <c r="O555" s="180"/>
      <c r="P555" s="180"/>
      <c r="AS555" s="180"/>
      <c r="AT555" s="180"/>
      <c r="AU555" s="180"/>
      <c r="AV555" s="180"/>
      <c r="AW555" s="180"/>
      <c r="AX555" s="180"/>
      <c r="AY555" s="180"/>
      <c r="AZ555" s="180"/>
      <c r="BA555" s="180"/>
      <c r="BB555" s="180"/>
      <c r="BC555" s="180"/>
      <c r="BD555" s="180"/>
      <c r="BE555" s="180"/>
      <c r="BF555" s="180"/>
      <c r="BG555" s="180"/>
      <c r="BH555" s="180"/>
      <c r="BI555" s="180"/>
      <c r="BJ555" s="180"/>
      <c r="BK555" s="180"/>
      <c r="BL555" s="180"/>
      <c r="BM555" s="180"/>
      <c r="BN555" s="180"/>
      <c r="BO555" s="180"/>
      <c r="BP555" s="180"/>
      <c r="BQ555" s="180"/>
      <c r="BR555" s="180"/>
      <c r="BS555" s="180"/>
      <c r="BT555" s="180"/>
      <c r="BU555" s="180"/>
      <c r="BV555" s="180"/>
      <c r="BW555" s="180"/>
      <c r="BX555" s="180"/>
      <c r="BY555" s="180"/>
      <c r="BZ555" s="180"/>
      <c r="CA555" s="180"/>
      <c r="CB555" s="180"/>
      <c r="CC555" s="180"/>
      <c r="CD555" s="180"/>
      <c r="CE555" s="180"/>
      <c r="CF555" s="180"/>
      <c r="CG555" s="180"/>
      <c r="CH555" s="180"/>
      <c r="CI555" s="180"/>
      <c r="CJ555" s="180"/>
      <c r="CK555" s="180"/>
      <c r="CL555" s="180"/>
      <c r="CM555" s="180"/>
      <c r="CN555" s="180"/>
      <c r="CO555" s="180"/>
      <c r="CP555" s="180"/>
      <c r="CQ555" s="180"/>
      <c r="CR555" s="180"/>
      <c r="CS555" s="180"/>
      <c r="CT555" s="180"/>
      <c r="CU555" s="180"/>
      <c r="CV555" s="180"/>
      <c r="CW555" s="180"/>
      <c r="CX555" s="180"/>
      <c r="CY555" s="180"/>
      <c r="CZ555" s="180"/>
    </row>
    <row r="556" spans="1:104" x14ac:dyDescent="0.45">
      <c r="A556" s="180" t="s">
        <v>12</v>
      </c>
      <c r="B556" s="73">
        <v>16</v>
      </c>
      <c r="C556" s="73">
        <v>16</v>
      </c>
      <c r="D556" s="180" t="s">
        <v>271</v>
      </c>
      <c r="E556" s="39">
        <v>43588</v>
      </c>
      <c r="F556" s="179">
        <v>0.67708333333333337</v>
      </c>
      <c r="G556" s="180">
        <v>3</v>
      </c>
      <c r="H556" s="180" t="s">
        <v>312</v>
      </c>
      <c r="I556" s="180"/>
      <c r="J556" s="180"/>
      <c r="K556" s="180"/>
      <c r="L556" s="180"/>
      <c r="M556" s="180"/>
      <c r="N556" s="180"/>
      <c r="O556" s="180"/>
      <c r="P556" s="180"/>
      <c r="AS556" s="180"/>
      <c r="AT556" s="180"/>
      <c r="AU556" s="180"/>
      <c r="AV556" s="180"/>
      <c r="AW556" s="180"/>
      <c r="AX556" s="180"/>
      <c r="AY556" s="180"/>
      <c r="AZ556" s="180"/>
      <c r="BA556" s="180"/>
      <c r="BB556" s="180"/>
      <c r="BC556" s="180"/>
      <c r="BD556" s="180"/>
      <c r="BE556" s="180"/>
      <c r="BF556" s="180"/>
      <c r="BG556" s="180"/>
      <c r="BH556" s="180"/>
      <c r="BI556" s="180"/>
      <c r="BJ556" s="180"/>
      <c r="BK556" s="180"/>
      <c r="BL556" s="180"/>
      <c r="BM556" s="180"/>
      <c r="BN556" s="180"/>
      <c r="BO556" s="180"/>
      <c r="BP556" s="180"/>
      <c r="BQ556" s="180"/>
      <c r="BR556" s="180"/>
      <c r="BS556" s="180"/>
      <c r="BT556" s="180"/>
      <c r="BU556" s="180"/>
      <c r="BV556" s="180"/>
      <c r="BW556" s="180"/>
      <c r="BX556" s="180"/>
      <c r="BY556" s="180"/>
      <c r="BZ556" s="180"/>
      <c r="CA556" s="180"/>
      <c r="CB556" s="180"/>
      <c r="CC556" s="180"/>
      <c r="CD556" s="180"/>
      <c r="CE556" s="180"/>
      <c r="CF556" s="180"/>
      <c r="CG556" s="180"/>
      <c r="CH556" s="180"/>
      <c r="CI556" s="180"/>
      <c r="CJ556" s="180"/>
      <c r="CK556" s="180"/>
      <c r="CL556" s="180"/>
      <c r="CM556" s="180"/>
      <c r="CN556" s="180"/>
      <c r="CO556" s="180"/>
      <c r="CP556" s="180"/>
      <c r="CQ556" s="180"/>
      <c r="CR556" s="180"/>
      <c r="CS556" s="180"/>
      <c r="CT556" s="180"/>
      <c r="CU556" s="180"/>
      <c r="CV556" s="180"/>
      <c r="CW556" s="180"/>
      <c r="CX556" s="180"/>
      <c r="CY556" s="180"/>
      <c r="CZ556" s="180"/>
    </row>
    <row r="557" spans="1:104" x14ac:dyDescent="0.45">
      <c r="A557" s="180" t="s">
        <v>12</v>
      </c>
      <c r="B557" s="73">
        <v>8</v>
      </c>
      <c r="C557" s="73">
        <v>8</v>
      </c>
      <c r="D557" s="180" t="s">
        <v>415</v>
      </c>
      <c r="E557" s="39">
        <v>43589</v>
      </c>
      <c r="F557" s="179">
        <v>0.47222222222222227</v>
      </c>
      <c r="G557" s="180">
        <v>2</v>
      </c>
      <c r="H557" s="180"/>
      <c r="I557" s="180" t="s">
        <v>347</v>
      </c>
      <c r="J557" s="180"/>
      <c r="K557" s="180"/>
      <c r="L557" s="180"/>
      <c r="M557" s="180"/>
      <c r="N557" s="180"/>
      <c r="O557" s="180"/>
      <c r="P557" s="180"/>
      <c r="AS557" s="180"/>
      <c r="AT557" s="180"/>
      <c r="AU557" s="180"/>
      <c r="AV557" s="180"/>
      <c r="AW557" s="180"/>
      <c r="AX557" s="180"/>
      <c r="AY557" s="180"/>
      <c r="AZ557" s="180"/>
      <c r="BA557" s="180"/>
      <c r="BB557" s="180"/>
      <c r="BC557" s="180"/>
      <c r="BD557" s="180"/>
      <c r="BE557" s="180"/>
      <c r="BF557" s="180"/>
      <c r="BG557" s="180"/>
      <c r="BH557" s="180"/>
      <c r="BI557" s="180"/>
      <c r="BJ557" s="180"/>
      <c r="BK557" s="180"/>
      <c r="BL557" s="180"/>
      <c r="BM557" s="180"/>
      <c r="BN557" s="180"/>
      <c r="BO557" s="180"/>
      <c r="BP557" s="180"/>
      <c r="BQ557" s="180"/>
      <c r="BR557" s="180"/>
      <c r="BS557" s="180"/>
      <c r="BT557" s="180"/>
      <c r="BU557" s="180"/>
      <c r="BV557" s="180"/>
      <c r="BW557" s="180"/>
      <c r="BX557" s="180"/>
      <c r="BY557" s="180"/>
      <c r="BZ557" s="180"/>
      <c r="CA557" s="180"/>
      <c r="CB557" s="180"/>
      <c r="CC557" s="180"/>
      <c r="CD557" s="180"/>
      <c r="CE557" s="180"/>
      <c r="CF557" s="180"/>
      <c r="CG557" s="180"/>
      <c r="CH557" s="180"/>
      <c r="CI557" s="180"/>
      <c r="CJ557" s="180"/>
      <c r="CK557" s="180"/>
      <c r="CL557" s="180"/>
      <c r="CM557" s="180"/>
      <c r="CN557" s="180"/>
      <c r="CO557" s="180"/>
      <c r="CP557" s="180"/>
      <c r="CQ557" s="180"/>
      <c r="CR557" s="180"/>
      <c r="CS557" s="180"/>
      <c r="CT557" s="180"/>
      <c r="CU557" s="180"/>
      <c r="CV557" s="180"/>
      <c r="CW557" s="180"/>
      <c r="CX557" s="180"/>
      <c r="CY557" s="180"/>
      <c r="CZ557" s="180"/>
    </row>
    <row r="558" spans="1:104" x14ac:dyDescent="0.45">
      <c r="A558" s="180" t="s">
        <v>12</v>
      </c>
      <c r="B558" s="73">
        <v>8</v>
      </c>
      <c r="C558" s="73"/>
      <c r="D558" s="180" t="s">
        <v>415</v>
      </c>
      <c r="E558" s="39">
        <v>43589</v>
      </c>
      <c r="F558" s="179">
        <v>0.47222222222222227</v>
      </c>
      <c r="G558" s="180">
        <v>2</v>
      </c>
      <c r="H558" s="180"/>
      <c r="I558" s="180"/>
      <c r="J558" s="180"/>
      <c r="K558" s="180"/>
      <c r="L558" s="180"/>
      <c r="M558" s="180"/>
      <c r="N558" s="180"/>
      <c r="O558" s="180"/>
      <c r="P558" s="180"/>
      <c r="AS558" s="180"/>
      <c r="AT558" s="180"/>
      <c r="AU558" s="180"/>
      <c r="AV558" s="180"/>
      <c r="AW558" s="180"/>
      <c r="AX558" s="180"/>
      <c r="AY558" s="180"/>
      <c r="AZ558" s="180"/>
      <c r="BA558" s="180"/>
      <c r="BB558" s="180"/>
      <c r="BC558" s="180"/>
      <c r="BD558" s="180"/>
      <c r="BE558" s="180"/>
      <c r="BF558" s="180"/>
      <c r="BG558" s="180"/>
      <c r="BH558" s="180"/>
      <c r="BI558" s="180"/>
      <c r="BJ558" s="180"/>
      <c r="BK558" s="180"/>
      <c r="BL558" s="180"/>
      <c r="BM558" s="180"/>
      <c r="BN558" s="180"/>
      <c r="BO558" s="180"/>
      <c r="BP558" s="180"/>
      <c r="BQ558" s="180"/>
      <c r="BR558" s="180"/>
      <c r="BS558" s="180"/>
      <c r="BT558" s="180"/>
      <c r="BU558" s="180"/>
      <c r="BV558" s="180"/>
      <c r="BW558" s="180"/>
      <c r="BX558" s="180"/>
      <c r="BY558" s="180"/>
      <c r="BZ558" s="180"/>
      <c r="CA558" s="180"/>
      <c r="CB558" s="180"/>
      <c r="CC558" s="180"/>
      <c r="CD558" s="180"/>
      <c r="CE558" s="180"/>
      <c r="CF558" s="180"/>
      <c r="CG558" s="180"/>
      <c r="CH558" s="180"/>
      <c r="CI558" s="180"/>
      <c r="CJ558" s="180"/>
      <c r="CK558" s="180"/>
      <c r="CL558" s="180"/>
      <c r="CM558" s="180"/>
      <c r="CN558" s="180"/>
      <c r="CO558" s="180"/>
      <c r="CP558" s="180"/>
      <c r="CQ558" s="180"/>
      <c r="CR558" s="180"/>
      <c r="CS558" s="180"/>
      <c r="CT558" s="180"/>
      <c r="CU558" s="180"/>
      <c r="CV558" s="180"/>
      <c r="CW558" s="180"/>
      <c r="CX558" s="180"/>
      <c r="CY558" s="180"/>
      <c r="CZ558" s="180"/>
    </row>
    <row r="559" spans="1:104" x14ac:dyDescent="0.45">
      <c r="A559" s="180" t="s">
        <v>12</v>
      </c>
      <c r="B559" s="73">
        <v>30</v>
      </c>
      <c r="C559" s="73">
        <v>30</v>
      </c>
      <c r="D559" s="180" t="s">
        <v>128</v>
      </c>
      <c r="E559" s="39">
        <v>43590</v>
      </c>
      <c r="F559" s="179">
        <v>0.54861111111111105</v>
      </c>
      <c r="G559" s="180">
        <v>2</v>
      </c>
      <c r="H559" s="180"/>
      <c r="I559" s="180"/>
      <c r="J559" s="180"/>
      <c r="K559" s="180"/>
      <c r="L559" s="180"/>
      <c r="M559" s="180"/>
      <c r="N559" s="180"/>
      <c r="O559" s="180"/>
      <c r="P559" s="180"/>
      <c r="AS559" s="180"/>
      <c r="AT559" s="180"/>
      <c r="AU559" s="180"/>
      <c r="AV559" s="180"/>
      <c r="AW559" s="180"/>
      <c r="AX559" s="180"/>
      <c r="AY559" s="180"/>
      <c r="AZ559" s="180"/>
      <c r="BA559" s="180"/>
      <c r="BB559" s="180"/>
      <c r="BC559" s="180"/>
      <c r="BD559" s="180"/>
      <c r="BE559" s="180"/>
      <c r="BF559" s="180"/>
      <c r="BG559" s="180"/>
      <c r="BH559" s="180"/>
      <c r="BI559" s="180"/>
      <c r="BJ559" s="180"/>
      <c r="BK559" s="180"/>
      <c r="BL559" s="180"/>
      <c r="BM559" s="180"/>
      <c r="BN559" s="180"/>
      <c r="BO559" s="180"/>
      <c r="BP559" s="180"/>
      <c r="BQ559" s="180"/>
      <c r="BR559" s="180"/>
      <c r="BS559" s="180"/>
      <c r="BT559" s="180"/>
      <c r="BU559" s="180"/>
      <c r="BV559" s="180"/>
      <c r="BW559" s="180"/>
      <c r="BX559" s="180"/>
      <c r="BY559" s="180"/>
      <c r="BZ559" s="180"/>
      <c r="CA559" s="180"/>
      <c r="CB559" s="180"/>
      <c r="CC559" s="180"/>
      <c r="CD559" s="180"/>
      <c r="CE559" s="180"/>
      <c r="CF559" s="180"/>
      <c r="CG559" s="180"/>
      <c r="CH559" s="180"/>
      <c r="CI559" s="180"/>
      <c r="CJ559" s="180"/>
      <c r="CK559" s="180"/>
      <c r="CL559" s="180"/>
      <c r="CM559" s="180"/>
      <c r="CN559" s="180"/>
      <c r="CO559" s="180"/>
      <c r="CP559" s="180"/>
      <c r="CQ559" s="180"/>
      <c r="CR559" s="180"/>
      <c r="CS559" s="180"/>
      <c r="CT559" s="180"/>
      <c r="CU559" s="180"/>
      <c r="CV559" s="180"/>
      <c r="CW559" s="180"/>
      <c r="CX559" s="180"/>
      <c r="CY559" s="180"/>
      <c r="CZ559" s="180"/>
    </row>
    <row r="560" spans="1:104" x14ac:dyDescent="0.45">
      <c r="A560" s="180" t="s">
        <v>12</v>
      </c>
      <c r="B560" s="73">
        <v>22</v>
      </c>
      <c r="C560" s="73"/>
      <c r="D560" s="180" t="s">
        <v>128</v>
      </c>
      <c r="E560" s="39">
        <v>43590</v>
      </c>
      <c r="F560" s="179">
        <v>0.54027777777777775</v>
      </c>
      <c r="G560" s="180">
        <v>1</v>
      </c>
      <c r="H560" s="180"/>
      <c r="I560" s="180"/>
      <c r="J560" s="180"/>
      <c r="K560" s="180"/>
      <c r="L560" s="180"/>
      <c r="M560" s="180"/>
      <c r="N560" s="180"/>
      <c r="O560" s="180"/>
      <c r="P560" s="180"/>
      <c r="AS560" s="180"/>
      <c r="AT560" s="180"/>
      <c r="AU560" s="180"/>
      <c r="AV560" s="180"/>
      <c r="AW560" s="180"/>
      <c r="AX560" s="180"/>
      <c r="AY560" s="180"/>
      <c r="AZ560" s="180"/>
      <c r="BA560" s="180"/>
      <c r="BB560" s="180"/>
      <c r="BC560" s="180"/>
      <c r="BD560" s="180"/>
      <c r="BE560" s="180"/>
      <c r="BF560" s="180"/>
      <c r="BG560" s="180"/>
      <c r="BH560" s="180"/>
      <c r="BI560" s="180"/>
      <c r="BJ560" s="180"/>
      <c r="BK560" s="180"/>
      <c r="BL560" s="180"/>
      <c r="BM560" s="180"/>
      <c r="BN560" s="180"/>
      <c r="BO560" s="180"/>
      <c r="BP560" s="180"/>
      <c r="BQ560" s="180"/>
      <c r="BR560" s="180"/>
      <c r="BS560" s="180"/>
      <c r="BT560" s="180"/>
      <c r="BU560" s="180"/>
      <c r="BV560" s="180"/>
      <c r="BW560" s="180"/>
      <c r="BX560" s="180"/>
      <c r="BY560" s="180"/>
      <c r="BZ560" s="180"/>
      <c r="CA560" s="180"/>
      <c r="CB560" s="180"/>
      <c r="CC560" s="180"/>
      <c r="CD560" s="180"/>
      <c r="CE560" s="180"/>
      <c r="CF560" s="180"/>
      <c r="CG560" s="180"/>
      <c r="CH560" s="180"/>
      <c r="CI560" s="180"/>
      <c r="CJ560" s="180"/>
      <c r="CK560" s="180"/>
      <c r="CL560" s="180"/>
      <c r="CM560" s="180"/>
      <c r="CN560" s="180"/>
      <c r="CO560" s="180"/>
      <c r="CP560" s="180"/>
      <c r="CQ560" s="180"/>
      <c r="CR560" s="180"/>
      <c r="CS560" s="180"/>
      <c r="CT560" s="180"/>
      <c r="CU560" s="180"/>
      <c r="CV560" s="180"/>
      <c r="CW560" s="180"/>
      <c r="CX560" s="180"/>
      <c r="CY560" s="180"/>
      <c r="CZ560" s="180"/>
    </row>
    <row r="561" spans="1:104" x14ac:dyDescent="0.45">
      <c r="A561" s="180" t="s">
        <v>12</v>
      </c>
      <c r="B561" s="73">
        <v>5</v>
      </c>
      <c r="C561" s="73"/>
      <c r="D561" s="180" t="s">
        <v>317</v>
      </c>
      <c r="E561" s="39">
        <v>43590</v>
      </c>
      <c r="F561" s="179">
        <v>0.65</v>
      </c>
      <c r="G561" s="180">
        <v>1</v>
      </c>
      <c r="H561" s="180"/>
      <c r="I561" s="180" t="s">
        <v>461</v>
      </c>
      <c r="J561" s="180"/>
      <c r="K561" s="180"/>
      <c r="L561" s="180"/>
      <c r="M561" s="180"/>
      <c r="N561" s="180"/>
      <c r="O561" s="180"/>
      <c r="P561" s="180"/>
      <c r="AS561" s="180"/>
      <c r="AT561" s="180"/>
      <c r="AU561" s="180"/>
      <c r="AV561" s="180"/>
      <c r="AW561" s="180"/>
      <c r="AX561" s="180"/>
      <c r="AY561" s="180"/>
      <c r="AZ561" s="180"/>
      <c r="BA561" s="180"/>
      <c r="BB561" s="180"/>
      <c r="BC561" s="180"/>
      <c r="BD561" s="180"/>
      <c r="BE561" s="180"/>
      <c r="BF561" s="180"/>
      <c r="BG561" s="180"/>
      <c r="BH561" s="180"/>
      <c r="BI561" s="180"/>
      <c r="BJ561" s="180"/>
      <c r="BK561" s="180"/>
      <c r="BL561" s="180"/>
      <c r="BM561" s="180"/>
      <c r="BN561" s="180"/>
      <c r="BO561" s="180"/>
      <c r="BP561" s="180"/>
      <c r="BQ561" s="180"/>
      <c r="BR561" s="180"/>
      <c r="BS561" s="180"/>
      <c r="BT561" s="180"/>
      <c r="BU561" s="180"/>
      <c r="BV561" s="180"/>
      <c r="BW561" s="180"/>
      <c r="BX561" s="180"/>
      <c r="BY561" s="180"/>
      <c r="BZ561" s="180"/>
      <c r="CA561" s="180"/>
      <c r="CB561" s="180"/>
      <c r="CC561" s="180"/>
      <c r="CD561" s="180"/>
      <c r="CE561" s="180"/>
      <c r="CF561" s="180"/>
      <c r="CG561" s="180"/>
      <c r="CH561" s="180"/>
      <c r="CI561" s="180"/>
      <c r="CJ561" s="180"/>
      <c r="CK561" s="180"/>
      <c r="CL561" s="180"/>
      <c r="CM561" s="180"/>
      <c r="CN561" s="180"/>
      <c r="CO561" s="180"/>
      <c r="CP561" s="180"/>
      <c r="CQ561" s="180"/>
      <c r="CR561" s="180"/>
      <c r="CS561" s="180"/>
      <c r="CT561" s="180"/>
      <c r="CU561" s="180"/>
      <c r="CV561" s="180"/>
      <c r="CW561" s="180"/>
      <c r="CX561" s="180"/>
      <c r="CY561" s="180"/>
      <c r="CZ561" s="180"/>
    </row>
    <row r="562" spans="1:104" x14ac:dyDescent="0.45">
      <c r="A562" s="180" t="s">
        <v>12</v>
      </c>
      <c r="B562" s="73">
        <v>9</v>
      </c>
      <c r="C562" s="73"/>
      <c r="D562" s="180" t="s">
        <v>317</v>
      </c>
      <c r="E562" s="39">
        <v>43593</v>
      </c>
      <c r="F562" s="179">
        <v>0.71597222222222223</v>
      </c>
      <c r="G562" s="180">
        <v>2</v>
      </c>
      <c r="H562" s="180"/>
      <c r="I562" s="180"/>
      <c r="J562" s="180"/>
      <c r="K562" s="180"/>
      <c r="L562" s="180"/>
      <c r="M562" s="180"/>
      <c r="N562" s="180"/>
      <c r="O562" s="180"/>
      <c r="P562" s="180"/>
      <c r="AS562" s="180"/>
      <c r="AT562" s="180"/>
      <c r="AU562" s="180"/>
      <c r="AV562" s="180"/>
      <c r="AW562" s="180"/>
      <c r="AX562" s="180"/>
      <c r="AY562" s="180"/>
      <c r="AZ562" s="180"/>
      <c r="BA562" s="180"/>
      <c r="BB562" s="180"/>
      <c r="BC562" s="180"/>
      <c r="BD562" s="180"/>
      <c r="BE562" s="180"/>
      <c r="BF562" s="180"/>
      <c r="BG562" s="180"/>
      <c r="BH562" s="180"/>
      <c r="BI562" s="180"/>
      <c r="BJ562" s="180"/>
      <c r="BK562" s="180"/>
      <c r="BL562" s="180"/>
      <c r="BM562" s="180"/>
      <c r="BN562" s="180"/>
      <c r="BO562" s="180"/>
      <c r="BP562" s="180"/>
      <c r="BQ562" s="180"/>
      <c r="BR562" s="180"/>
      <c r="BS562" s="180"/>
      <c r="BT562" s="180"/>
      <c r="BU562" s="180"/>
      <c r="BV562" s="180"/>
      <c r="BW562" s="180"/>
      <c r="BX562" s="180"/>
      <c r="BY562" s="180"/>
      <c r="BZ562" s="180"/>
      <c r="CA562" s="180"/>
      <c r="CB562" s="180"/>
      <c r="CC562" s="180"/>
      <c r="CD562" s="180"/>
      <c r="CE562" s="180"/>
      <c r="CF562" s="180"/>
      <c r="CG562" s="180"/>
      <c r="CH562" s="180"/>
      <c r="CI562" s="180"/>
      <c r="CJ562" s="180"/>
      <c r="CK562" s="180"/>
      <c r="CL562" s="180"/>
      <c r="CM562" s="180"/>
      <c r="CN562" s="180"/>
      <c r="CO562" s="180"/>
      <c r="CP562" s="180"/>
      <c r="CQ562" s="180"/>
      <c r="CR562" s="180"/>
      <c r="CS562" s="180"/>
      <c r="CT562" s="180"/>
      <c r="CU562" s="180"/>
      <c r="CV562" s="180"/>
      <c r="CW562" s="180"/>
      <c r="CX562" s="180"/>
      <c r="CY562" s="180"/>
      <c r="CZ562" s="180"/>
    </row>
    <row r="563" spans="1:104" x14ac:dyDescent="0.45">
      <c r="A563" s="180" t="s">
        <v>12</v>
      </c>
      <c r="B563" s="73">
        <v>9</v>
      </c>
      <c r="C563" s="73"/>
      <c r="D563" s="180" t="s">
        <v>317</v>
      </c>
      <c r="E563" s="39">
        <v>43593</v>
      </c>
      <c r="F563" s="179">
        <v>0.71597222222222223</v>
      </c>
      <c r="G563" s="180">
        <v>2</v>
      </c>
      <c r="H563" s="180"/>
      <c r="I563" s="180"/>
      <c r="J563" s="180"/>
      <c r="K563" s="180"/>
      <c r="L563" s="180"/>
      <c r="M563" s="180"/>
      <c r="N563" s="180"/>
      <c r="O563" s="180"/>
      <c r="P563" s="180"/>
      <c r="AS563" s="180"/>
      <c r="AT563" s="180"/>
      <c r="AU563" s="180"/>
      <c r="AV563" s="180"/>
      <c r="AW563" s="180"/>
      <c r="AX563" s="180"/>
      <c r="AY563" s="180"/>
      <c r="AZ563" s="180"/>
      <c r="BA563" s="180"/>
      <c r="BB563" s="180"/>
      <c r="BC563" s="180"/>
      <c r="BD563" s="180"/>
      <c r="BE563" s="180"/>
      <c r="BF563" s="180"/>
      <c r="BG563" s="180"/>
      <c r="BH563" s="180"/>
      <c r="BI563" s="180"/>
      <c r="BJ563" s="180"/>
      <c r="BK563" s="180"/>
      <c r="BL563" s="180"/>
      <c r="BM563" s="180"/>
      <c r="BN563" s="180"/>
      <c r="BO563" s="180"/>
      <c r="BP563" s="180"/>
      <c r="BQ563" s="180"/>
      <c r="BR563" s="180"/>
      <c r="BS563" s="180"/>
      <c r="BT563" s="180"/>
      <c r="BU563" s="180"/>
      <c r="BV563" s="180"/>
      <c r="BW563" s="180"/>
      <c r="BX563" s="180"/>
      <c r="BY563" s="180"/>
      <c r="BZ563" s="180"/>
      <c r="CA563" s="180"/>
      <c r="CB563" s="180"/>
      <c r="CC563" s="180"/>
      <c r="CD563" s="180"/>
      <c r="CE563" s="180"/>
      <c r="CF563" s="180"/>
      <c r="CG563" s="180"/>
      <c r="CH563" s="180"/>
      <c r="CI563" s="180"/>
      <c r="CJ563" s="180"/>
      <c r="CK563" s="180"/>
      <c r="CL563" s="180"/>
      <c r="CM563" s="180"/>
      <c r="CN563" s="180"/>
      <c r="CO563" s="180"/>
      <c r="CP563" s="180"/>
      <c r="CQ563" s="180"/>
      <c r="CR563" s="180"/>
      <c r="CS563" s="180"/>
      <c r="CT563" s="180"/>
      <c r="CU563" s="180"/>
      <c r="CV563" s="180"/>
      <c r="CW563" s="180"/>
      <c r="CX563" s="180"/>
      <c r="CY563" s="180"/>
      <c r="CZ563" s="180"/>
    </row>
    <row r="564" spans="1:104" x14ac:dyDescent="0.45">
      <c r="A564" s="180" t="s">
        <v>12</v>
      </c>
      <c r="B564" s="73">
        <v>9</v>
      </c>
      <c r="C564" s="73"/>
      <c r="D564" s="180" t="s">
        <v>317</v>
      </c>
      <c r="E564" s="39">
        <v>43593</v>
      </c>
      <c r="F564" s="179">
        <v>0.71597222222222223</v>
      </c>
      <c r="G564" s="180">
        <v>2</v>
      </c>
      <c r="H564" s="180"/>
      <c r="I564" s="180"/>
      <c r="J564" s="180"/>
      <c r="K564" s="180"/>
      <c r="L564" s="180"/>
      <c r="M564" s="180"/>
      <c r="N564" s="180"/>
      <c r="O564" s="180"/>
      <c r="P564" s="180"/>
      <c r="AS564" s="180"/>
      <c r="AT564" s="180"/>
      <c r="AU564" s="180"/>
      <c r="AV564" s="180"/>
      <c r="AW564" s="180"/>
      <c r="AX564" s="180"/>
      <c r="AY564" s="180"/>
      <c r="AZ564" s="180"/>
      <c r="BA564" s="180"/>
      <c r="BB564" s="180"/>
      <c r="BC564" s="180"/>
      <c r="BD564" s="180"/>
      <c r="BE564" s="180"/>
      <c r="BF564" s="180"/>
      <c r="BG564" s="180"/>
      <c r="BH564" s="180"/>
      <c r="BI564" s="180"/>
      <c r="BJ564" s="180"/>
      <c r="BK564" s="180"/>
      <c r="BL564" s="180"/>
      <c r="BM564" s="180"/>
      <c r="BN564" s="180"/>
      <c r="BO564" s="180"/>
      <c r="BP564" s="180"/>
      <c r="BQ564" s="180"/>
      <c r="BR564" s="180"/>
      <c r="BS564" s="180"/>
      <c r="BT564" s="180"/>
      <c r="BU564" s="180"/>
      <c r="BV564" s="180"/>
      <c r="BW564" s="180"/>
      <c r="BX564" s="180"/>
      <c r="BY564" s="180"/>
      <c r="BZ564" s="180"/>
      <c r="CA564" s="180"/>
      <c r="CB564" s="180"/>
      <c r="CC564" s="180"/>
      <c r="CD564" s="180"/>
      <c r="CE564" s="180"/>
      <c r="CF564" s="180"/>
      <c r="CG564" s="180"/>
      <c r="CH564" s="180"/>
      <c r="CI564" s="180"/>
      <c r="CJ564" s="180"/>
      <c r="CK564" s="180"/>
      <c r="CL564" s="180"/>
      <c r="CM564" s="180"/>
      <c r="CN564" s="180"/>
      <c r="CO564" s="180"/>
      <c r="CP564" s="180"/>
      <c r="CQ564" s="180"/>
      <c r="CR564" s="180"/>
      <c r="CS564" s="180"/>
      <c r="CT564" s="180"/>
      <c r="CU564" s="180"/>
      <c r="CV564" s="180"/>
      <c r="CW564" s="180"/>
      <c r="CX564" s="180"/>
      <c r="CY564" s="180"/>
      <c r="CZ564" s="180"/>
    </row>
    <row r="565" spans="1:104" x14ac:dyDescent="0.45">
      <c r="A565" s="180" t="s">
        <v>12</v>
      </c>
      <c r="B565" s="73">
        <v>16</v>
      </c>
      <c r="C565" s="73"/>
      <c r="D565" s="180" t="s">
        <v>317</v>
      </c>
      <c r="E565" s="39">
        <v>43593</v>
      </c>
      <c r="F565" s="179">
        <v>0.79722222222222217</v>
      </c>
      <c r="G565" s="180">
        <v>7</v>
      </c>
      <c r="H565" s="180"/>
      <c r="I565" s="180"/>
      <c r="J565" s="180"/>
      <c r="K565" s="180"/>
      <c r="L565" s="180"/>
      <c r="M565" s="180"/>
      <c r="N565" s="180"/>
      <c r="O565" s="180"/>
      <c r="P565" s="180"/>
      <c r="AS565" s="180"/>
      <c r="AT565" s="180"/>
      <c r="AU565" s="180"/>
      <c r="AV565" s="180"/>
      <c r="AW565" s="180"/>
      <c r="AX565" s="180"/>
      <c r="AY565" s="180"/>
      <c r="AZ565" s="180"/>
      <c r="BA565" s="180"/>
      <c r="BB565" s="180"/>
      <c r="BC565" s="180"/>
      <c r="BD565" s="180"/>
      <c r="BE565" s="180"/>
      <c r="BF565" s="180"/>
      <c r="BG565" s="180"/>
      <c r="BH565" s="180"/>
      <c r="BI565" s="180"/>
      <c r="BJ565" s="180"/>
      <c r="BK565" s="180"/>
      <c r="BL565" s="180"/>
      <c r="BM565" s="180"/>
      <c r="BN565" s="180"/>
      <c r="BO565" s="180"/>
      <c r="BP565" s="180"/>
      <c r="BQ565" s="180"/>
      <c r="BR565" s="180"/>
      <c r="BS565" s="180"/>
      <c r="BT565" s="180"/>
      <c r="BU565" s="180"/>
      <c r="BV565" s="180"/>
      <c r="BW565" s="180"/>
      <c r="BX565" s="180"/>
      <c r="BY565" s="180"/>
      <c r="BZ565" s="180"/>
      <c r="CA565" s="180"/>
      <c r="CB565" s="180"/>
      <c r="CC565" s="180"/>
      <c r="CD565" s="180"/>
      <c r="CE565" s="180"/>
      <c r="CF565" s="180"/>
      <c r="CG565" s="180"/>
      <c r="CH565" s="180"/>
      <c r="CI565" s="180"/>
      <c r="CJ565" s="180"/>
      <c r="CK565" s="180"/>
      <c r="CL565" s="180"/>
      <c r="CM565" s="180"/>
      <c r="CN565" s="180"/>
      <c r="CO565" s="180"/>
      <c r="CP565" s="180"/>
      <c r="CQ565" s="180"/>
      <c r="CR565" s="180"/>
      <c r="CS565" s="180"/>
      <c r="CT565" s="180"/>
      <c r="CU565" s="180"/>
      <c r="CV565" s="180"/>
      <c r="CW565" s="180"/>
      <c r="CX565" s="180"/>
      <c r="CY565" s="180"/>
      <c r="CZ565" s="180"/>
    </row>
    <row r="566" spans="1:104" x14ac:dyDescent="0.45">
      <c r="A566" s="180" t="s">
        <v>12</v>
      </c>
      <c r="B566" s="73">
        <v>1</v>
      </c>
      <c r="C566" s="73">
        <v>1</v>
      </c>
      <c r="D566" s="180" t="s">
        <v>332</v>
      </c>
      <c r="E566" s="39">
        <v>43593</v>
      </c>
      <c r="F566" s="179">
        <v>0.80208333333333337</v>
      </c>
      <c r="G566" s="180">
        <v>4</v>
      </c>
      <c r="H566" s="180" t="s">
        <v>280</v>
      </c>
      <c r="I566" s="180"/>
      <c r="K566" s="180"/>
      <c r="L566" s="180"/>
      <c r="M566" s="180"/>
      <c r="N566" s="180"/>
      <c r="O566" s="180"/>
      <c r="P566" s="180"/>
      <c r="AS566" s="180"/>
      <c r="AT566" s="180"/>
      <c r="AU566" s="180"/>
      <c r="AV566" s="180"/>
      <c r="AW566" s="180"/>
      <c r="AX566" s="180"/>
      <c r="AY566" s="180"/>
      <c r="AZ566" s="180"/>
      <c r="BA566" s="180"/>
      <c r="BB566" s="180"/>
      <c r="BC566" s="180"/>
      <c r="BD566" s="180"/>
      <c r="BE566" s="180"/>
      <c r="BF566" s="180"/>
      <c r="BG566" s="180"/>
      <c r="BH566" s="180"/>
      <c r="BI566" s="180"/>
      <c r="BJ566" s="180"/>
      <c r="BK566" s="180"/>
      <c r="BL566" s="180"/>
      <c r="BM566" s="180"/>
      <c r="BN566" s="180"/>
      <c r="BO566" s="180"/>
      <c r="BP566" s="180"/>
      <c r="BQ566" s="180"/>
      <c r="BR566" s="180"/>
      <c r="BS566" s="180"/>
      <c r="BT566" s="180"/>
      <c r="BU566" s="180"/>
      <c r="BV566" s="180"/>
      <c r="BW566" s="180"/>
      <c r="BX566" s="180"/>
      <c r="BY566" s="180"/>
      <c r="BZ566" s="180"/>
      <c r="CA566" s="180"/>
      <c r="CB566" s="180"/>
      <c r="CC566" s="180"/>
      <c r="CD566" s="180"/>
      <c r="CE566" s="180"/>
      <c r="CF566" s="180"/>
      <c r="CG566" s="180"/>
      <c r="CH566" s="180"/>
      <c r="CI566" s="180"/>
      <c r="CJ566" s="180"/>
      <c r="CK566" s="180"/>
      <c r="CL566" s="180"/>
      <c r="CM566" s="180"/>
      <c r="CN566" s="180"/>
      <c r="CO566" s="180"/>
      <c r="CP566" s="180"/>
      <c r="CQ566" s="180"/>
      <c r="CR566" s="180"/>
      <c r="CS566" s="180"/>
      <c r="CT566" s="180"/>
      <c r="CU566" s="180"/>
      <c r="CV566" s="180"/>
      <c r="CW566" s="180"/>
      <c r="CX566" s="180"/>
      <c r="CY566" s="180"/>
      <c r="CZ566" s="180"/>
    </row>
    <row r="567" spans="1:104" x14ac:dyDescent="0.45">
      <c r="A567" s="180" t="s">
        <v>12</v>
      </c>
      <c r="B567" s="73">
        <v>16</v>
      </c>
      <c r="C567" s="73">
        <v>16</v>
      </c>
      <c r="D567" s="180" t="s">
        <v>311</v>
      </c>
      <c r="E567" s="39">
        <v>43593</v>
      </c>
      <c r="F567" s="179">
        <v>0.80208333333333337</v>
      </c>
      <c r="G567" s="180">
        <v>7</v>
      </c>
      <c r="H567" s="180" t="s">
        <v>280</v>
      </c>
      <c r="I567" s="180"/>
      <c r="K567" s="180"/>
      <c r="L567" s="180"/>
      <c r="M567" s="180"/>
      <c r="N567" s="180"/>
      <c r="O567" s="180"/>
      <c r="P567" s="180"/>
      <c r="AS567" s="180"/>
      <c r="AT567" s="180"/>
      <c r="AU567" s="180"/>
      <c r="AV567" s="180"/>
      <c r="AW567" s="180"/>
      <c r="AX567" s="180"/>
      <c r="AY567" s="180"/>
      <c r="AZ567" s="180"/>
      <c r="BA567" s="180"/>
      <c r="BB567" s="180"/>
      <c r="BC567" s="180"/>
      <c r="BD567" s="180"/>
      <c r="BE567" s="180"/>
      <c r="BF567" s="180"/>
      <c r="BG567" s="180"/>
      <c r="BH567" s="180"/>
      <c r="BI567" s="180"/>
      <c r="BJ567" s="180"/>
      <c r="BK567" s="180"/>
      <c r="BL567" s="180"/>
      <c r="BM567" s="180"/>
      <c r="BN567" s="180"/>
      <c r="BO567" s="180"/>
      <c r="BP567" s="180"/>
      <c r="BQ567" s="180"/>
      <c r="BR567" s="180"/>
      <c r="BS567" s="180"/>
      <c r="BT567" s="180"/>
      <c r="BU567" s="180"/>
      <c r="BV567" s="180"/>
      <c r="BW567" s="180"/>
      <c r="BX567" s="180"/>
      <c r="BY567" s="180"/>
      <c r="BZ567" s="180"/>
      <c r="CA567" s="180"/>
      <c r="CB567" s="180"/>
      <c r="CC567" s="180"/>
      <c r="CD567" s="180"/>
      <c r="CE567" s="180"/>
      <c r="CF567" s="180"/>
      <c r="CG567" s="180"/>
      <c r="CH567" s="180"/>
      <c r="CI567" s="180"/>
      <c r="CJ567" s="180"/>
      <c r="CK567" s="180"/>
      <c r="CL567" s="180"/>
      <c r="CM567" s="180"/>
      <c r="CN567" s="180"/>
      <c r="CO567" s="180"/>
      <c r="CP567" s="180"/>
      <c r="CQ567" s="180"/>
      <c r="CR567" s="180"/>
      <c r="CS567" s="180"/>
      <c r="CT567" s="180"/>
      <c r="CU567" s="180"/>
      <c r="CV567" s="180"/>
      <c r="CW567" s="180"/>
      <c r="CX567" s="180"/>
      <c r="CY567" s="180"/>
      <c r="CZ567" s="180"/>
    </row>
    <row r="568" spans="1:104" x14ac:dyDescent="0.45">
      <c r="A568" s="180" t="s">
        <v>12</v>
      </c>
      <c r="B568" s="73">
        <v>1</v>
      </c>
      <c r="C568" s="73">
        <v>1</v>
      </c>
      <c r="D568" s="180" t="s">
        <v>309</v>
      </c>
      <c r="E568" s="39">
        <v>43593</v>
      </c>
      <c r="F568" s="179">
        <v>0.80208333333333337</v>
      </c>
      <c r="G568" s="180">
        <v>5</v>
      </c>
      <c r="H568" s="180"/>
      <c r="I568" s="180"/>
      <c r="J568" s="180"/>
      <c r="K568" s="180"/>
      <c r="L568" s="180"/>
      <c r="M568" s="180"/>
      <c r="N568" s="180"/>
      <c r="O568" s="180"/>
      <c r="P568" s="180"/>
      <c r="AS568" s="180"/>
      <c r="AT568" s="180"/>
      <c r="AU568" s="180"/>
      <c r="AV568" s="180"/>
      <c r="AW568" s="180"/>
      <c r="AX568" s="180"/>
      <c r="AY568" s="180"/>
      <c r="AZ568" s="180"/>
      <c r="BA568" s="180"/>
      <c r="BB568" s="180"/>
      <c r="BC568" s="180"/>
      <c r="BD568" s="180"/>
      <c r="BE568" s="180"/>
      <c r="BF568" s="180"/>
      <c r="BG568" s="180"/>
      <c r="BH568" s="180"/>
      <c r="BI568" s="180"/>
      <c r="BJ568" s="180"/>
      <c r="BK568" s="180"/>
      <c r="BL568" s="180"/>
      <c r="BM568" s="180"/>
      <c r="BN568" s="180"/>
      <c r="BO568" s="180"/>
      <c r="BP568" s="180"/>
      <c r="BQ568" s="180"/>
      <c r="BR568" s="180"/>
      <c r="BS568" s="180"/>
      <c r="BT568" s="180"/>
      <c r="BU568" s="180"/>
      <c r="BV568" s="180"/>
      <c r="BW568" s="180"/>
      <c r="BX568" s="180"/>
      <c r="BY568" s="180"/>
      <c r="BZ568" s="180"/>
      <c r="CA568" s="180"/>
      <c r="CB568" s="180"/>
      <c r="CC568" s="180"/>
      <c r="CD568" s="180"/>
      <c r="CE568" s="180"/>
      <c r="CF568" s="180"/>
      <c r="CG568" s="180"/>
      <c r="CH568" s="180"/>
      <c r="CI568" s="180"/>
      <c r="CJ568" s="180"/>
      <c r="CK568" s="180"/>
      <c r="CL568" s="180"/>
      <c r="CM568" s="180"/>
      <c r="CN568" s="180"/>
      <c r="CO568" s="180"/>
      <c r="CP568" s="180"/>
      <c r="CQ568" s="180"/>
      <c r="CR568" s="180"/>
      <c r="CS568" s="180"/>
      <c r="CT568" s="180"/>
      <c r="CU568" s="180"/>
      <c r="CV568" s="180"/>
      <c r="CW568" s="180"/>
      <c r="CX568" s="180"/>
      <c r="CY568" s="180"/>
      <c r="CZ568" s="180"/>
    </row>
    <row r="569" spans="1:104" x14ac:dyDescent="0.45">
      <c r="A569" s="180" t="s">
        <v>12</v>
      </c>
      <c r="B569" s="73">
        <v>7</v>
      </c>
      <c r="C569" s="73">
        <v>7</v>
      </c>
      <c r="D569" s="180" t="s">
        <v>271</v>
      </c>
      <c r="E569" s="39">
        <v>43593</v>
      </c>
      <c r="F569" s="179">
        <v>0.68611111111111101</v>
      </c>
      <c r="G569" s="180">
        <v>1</v>
      </c>
      <c r="H569" s="180"/>
      <c r="I569" s="180"/>
      <c r="J569" s="180"/>
      <c r="K569" s="180"/>
      <c r="L569" s="180"/>
      <c r="M569" s="180"/>
      <c r="N569" s="180"/>
      <c r="O569" s="180"/>
      <c r="P569" s="180"/>
      <c r="AS569" s="180"/>
      <c r="AT569" s="180"/>
      <c r="AU569" s="180"/>
      <c r="AV569" s="180"/>
      <c r="AW569" s="180"/>
      <c r="AX569" s="180"/>
      <c r="AY569" s="180"/>
      <c r="AZ569" s="180"/>
      <c r="BA569" s="180"/>
      <c r="BB569" s="180"/>
      <c r="BC569" s="180"/>
      <c r="BD569" s="180"/>
      <c r="BE569" s="180"/>
      <c r="BF569" s="180"/>
      <c r="BG569" s="180"/>
      <c r="BH569" s="180"/>
      <c r="BI569" s="180"/>
      <c r="BJ569" s="180"/>
      <c r="BK569" s="180"/>
      <c r="BL569" s="180"/>
      <c r="BM569" s="180"/>
      <c r="BN569" s="180"/>
      <c r="BO569" s="180"/>
      <c r="BP569" s="180"/>
      <c r="BQ569" s="180"/>
      <c r="BR569" s="180"/>
      <c r="BS569" s="180"/>
      <c r="BT569" s="180"/>
      <c r="BU569" s="180"/>
      <c r="BV569" s="180"/>
      <c r="BW569" s="180"/>
      <c r="BX569" s="180"/>
      <c r="BY569" s="180"/>
      <c r="BZ569" s="180"/>
      <c r="CA569" s="180"/>
      <c r="CB569" s="180"/>
      <c r="CC569" s="180"/>
      <c r="CD569" s="180"/>
      <c r="CE569" s="180"/>
      <c r="CF569" s="180"/>
      <c r="CG569" s="180"/>
      <c r="CH569" s="180"/>
      <c r="CI569" s="180"/>
      <c r="CJ569" s="180"/>
      <c r="CK569" s="180"/>
      <c r="CL569" s="180"/>
      <c r="CM569" s="180"/>
      <c r="CN569" s="180"/>
      <c r="CO569" s="180"/>
      <c r="CP569" s="180"/>
      <c r="CQ569" s="180"/>
      <c r="CR569" s="180"/>
      <c r="CS569" s="180"/>
      <c r="CT569" s="180"/>
      <c r="CU569" s="180"/>
      <c r="CV569" s="180"/>
      <c r="CW569" s="180"/>
      <c r="CX569" s="180"/>
      <c r="CY569" s="180"/>
      <c r="CZ569" s="180"/>
    </row>
    <row r="570" spans="1:104" x14ac:dyDescent="0.45">
      <c r="A570" s="180" t="s">
        <v>12</v>
      </c>
      <c r="B570" s="73">
        <v>17</v>
      </c>
      <c r="C570" s="73">
        <v>17</v>
      </c>
      <c r="D570" s="180" t="s">
        <v>462</v>
      </c>
      <c r="E570" s="39">
        <v>43594</v>
      </c>
      <c r="F570" s="179">
        <v>0.84444444444444444</v>
      </c>
      <c r="G570" s="180">
        <v>5</v>
      </c>
      <c r="H570" s="180" t="s">
        <v>463</v>
      </c>
      <c r="I570" s="180"/>
      <c r="J570" s="180"/>
      <c r="K570" s="180"/>
      <c r="L570" s="180"/>
      <c r="M570" s="180"/>
      <c r="N570" s="180"/>
      <c r="O570" s="180"/>
      <c r="P570" s="180"/>
      <c r="AS570" s="180"/>
      <c r="AT570" s="180"/>
      <c r="AU570" s="180"/>
      <c r="AV570" s="180"/>
      <c r="AW570" s="180"/>
      <c r="AX570" s="180"/>
      <c r="AY570" s="180"/>
      <c r="AZ570" s="180"/>
      <c r="BA570" s="180"/>
      <c r="BB570" s="180"/>
      <c r="BC570" s="180"/>
      <c r="BD570" s="180"/>
      <c r="BE570" s="180"/>
      <c r="BF570" s="180"/>
      <c r="BG570" s="180"/>
      <c r="BH570" s="180"/>
      <c r="BI570" s="180"/>
      <c r="BJ570" s="180"/>
      <c r="BK570" s="180"/>
      <c r="BL570" s="180"/>
      <c r="BM570" s="180"/>
      <c r="BN570" s="180"/>
      <c r="BO570" s="180"/>
      <c r="BP570" s="180"/>
      <c r="BQ570" s="180"/>
      <c r="BR570" s="180"/>
      <c r="BS570" s="180"/>
      <c r="BT570" s="180"/>
      <c r="BU570" s="180"/>
      <c r="BV570" s="180"/>
      <c r="BW570" s="180"/>
      <c r="BX570" s="180"/>
      <c r="BY570" s="180"/>
      <c r="BZ570" s="180"/>
      <c r="CA570" s="180"/>
      <c r="CB570" s="180"/>
      <c r="CC570" s="180"/>
      <c r="CD570" s="180"/>
      <c r="CE570" s="180"/>
      <c r="CF570" s="180"/>
      <c r="CG570" s="180"/>
      <c r="CH570" s="180"/>
      <c r="CI570" s="180"/>
      <c r="CJ570" s="180"/>
      <c r="CK570" s="180"/>
      <c r="CL570" s="180"/>
      <c r="CM570" s="180"/>
      <c r="CN570" s="180"/>
      <c r="CO570" s="180"/>
      <c r="CP570" s="180"/>
      <c r="CQ570" s="180"/>
      <c r="CR570" s="180"/>
      <c r="CS570" s="180"/>
      <c r="CT570" s="180"/>
      <c r="CU570" s="180"/>
      <c r="CV570" s="180"/>
      <c r="CW570" s="180"/>
      <c r="CX570" s="180"/>
      <c r="CY570" s="180"/>
      <c r="CZ570" s="180"/>
    </row>
    <row r="571" spans="1:104" x14ac:dyDescent="0.45">
      <c r="A571" s="180" t="s">
        <v>12</v>
      </c>
      <c r="B571" s="73">
        <v>5</v>
      </c>
      <c r="C571" s="73"/>
      <c r="D571" s="180" t="s">
        <v>332</v>
      </c>
      <c r="E571" s="39">
        <v>43594</v>
      </c>
      <c r="F571" s="179">
        <v>0.82500000000000007</v>
      </c>
      <c r="G571" s="180">
        <v>1</v>
      </c>
      <c r="H571" s="180"/>
      <c r="I571" s="180"/>
      <c r="J571" s="180"/>
      <c r="K571" s="180"/>
      <c r="L571" s="180"/>
      <c r="M571" s="180"/>
      <c r="N571" s="180"/>
      <c r="O571" s="180"/>
      <c r="P571" s="180"/>
      <c r="AS571" s="180"/>
      <c r="AT571" s="180"/>
      <c r="AU571" s="180"/>
      <c r="AV571" s="180"/>
      <c r="AW571" s="180"/>
      <c r="AX571" s="180"/>
      <c r="AY571" s="180"/>
      <c r="AZ571" s="180"/>
      <c r="BA571" s="180"/>
      <c r="BB571" s="180"/>
      <c r="BC571" s="180"/>
      <c r="BD571" s="180"/>
      <c r="BE571" s="180"/>
      <c r="BF571" s="180"/>
      <c r="BG571" s="180"/>
      <c r="BH571" s="180"/>
      <c r="BI571" s="180"/>
      <c r="BJ571" s="180"/>
      <c r="BK571" s="180"/>
      <c r="BL571" s="180"/>
      <c r="BM571" s="180"/>
      <c r="BN571" s="180"/>
      <c r="BO571" s="180"/>
      <c r="BP571" s="180"/>
      <c r="BQ571" s="180"/>
      <c r="BR571" s="180"/>
      <c r="BS571" s="180"/>
      <c r="BT571" s="180"/>
      <c r="BU571" s="180"/>
      <c r="BV571" s="180"/>
      <c r="BW571" s="180"/>
      <c r="BX571" s="180"/>
      <c r="BY571" s="180"/>
      <c r="BZ571" s="180"/>
      <c r="CA571" s="180"/>
      <c r="CB571" s="180"/>
      <c r="CC571" s="180"/>
      <c r="CD571" s="180"/>
      <c r="CE571" s="180"/>
      <c r="CF571" s="180"/>
      <c r="CG571" s="180"/>
      <c r="CH571" s="180"/>
      <c r="CI571" s="180"/>
      <c r="CJ571" s="180"/>
      <c r="CK571" s="180"/>
      <c r="CL571" s="180"/>
      <c r="CM571" s="180"/>
      <c r="CN571" s="180"/>
      <c r="CO571" s="180"/>
      <c r="CP571" s="180"/>
      <c r="CQ571" s="180"/>
      <c r="CR571" s="180"/>
      <c r="CS571" s="180"/>
      <c r="CT571" s="180"/>
      <c r="CU571" s="180"/>
      <c r="CV571" s="180"/>
      <c r="CW571" s="180"/>
      <c r="CX571" s="180"/>
      <c r="CY571" s="180"/>
      <c r="CZ571" s="180"/>
    </row>
    <row r="572" spans="1:104" x14ac:dyDescent="0.45">
      <c r="A572" s="180" t="s">
        <v>12</v>
      </c>
      <c r="B572" s="73">
        <v>1</v>
      </c>
      <c r="C572" s="73"/>
      <c r="D572" s="180" t="s">
        <v>332</v>
      </c>
      <c r="E572" s="39">
        <v>43594</v>
      </c>
      <c r="F572" s="179">
        <v>0.80763888888888891</v>
      </c>
      <c r="G572" s="180">
        <v>1</v>
      </c>
      <c r="H572" s="180" t="s">
        <v>464</v>
      </c>
      <c r="I572" s="180"/>
      <c r="J572" s="180"/>
      <c r="K572" s="180"/>
      <c r="L572" s="180"/>
      <c r="M572" s="180"/>
      <c r="N572" s="180"/>
      <c r="O572" s="180"/>
      <c r="P572" s="180"/>
      <c r="AS572" s="180"/>
      <c r="AT572" s="180"/>
      <c r="AU572" s="180"/>
      <c r="AV572" s="180"/>
      <c r="AW572" s="180"/>
      <c r="AX572" s="180"/>
      <c r="AY572" s="180"/>
      <c r="AZ572" s="180"/>
      <c r="BA572" s="180"/>
      <c r="BB572" s="180"/>
      <c r="BC572" s="180"/>
      <c r="BD572" s="180"/>
      <c r="BE572" s="180"/>
      <c r="BF572" s="180"/>
      <c r="BG572" s="180"/>
      <c r="BH572" s="180"/>
      <c r="BI572" s="180"/>
      <c r="BJ572" s="180"/>
      <c r="BK572" s="180"/>
      <c r="BL572" s="180"/>
      <c r="BM572" s="180"/>
      <c r="BN572" s="180"/>
      <c r="BO572" s="180"/>
      <c r="BP572" s="180"/>
      <c r="BQ572" s="180"/>
      <c r="BR572" s="180"/>
      <c r="BS572" s="180"/>
      <c r="BT572" s="180"/>
      <c r="BU572" s="180"/>
      <c r="BV572" s="180"/>
      <c r="BW572" s="180"/>
      <c r="BX572" s="180"/>
      <c r="BY572" s="180"/>
      <c r="BZ572" s="180"/>
      <c r="CA572" s="180"/>
      <c r="CB572" s="180"/>
      <c r="CC572" s="180"/>
      <c r="CD572" s="180"/>
      <c r="CE572" s="180"/>
      <c r="CF572" s="180"/>
      <c r="CG572" s="180"/>
      <c r="CH572" s="180"/>
      <c r="CI572" s="180"/>
      <c r="CJ572" s="180"/>
      <c r="CK572" s="180"/>
      <c r="CL572" s="180"/>
      <c r="CM572" s="180"/>
      <c r="CN572" s="180"/>
      <c r="CO572" s="180"/>
      <c r="CP572" s="180"/>
      <c r="CQ572" s="180"/>
      <c r="CR572" s="180"/>
      <c r="CS572" s="180"/>
      <c r="CT572" s="180"/>
      <c r="CU572" s="180"/>
      <c r="CV572" s="180"/>
      <c r="CW572" s="180"/>
      <c r="CX572" s="180"/>
      <c r="CY572" s="180"/>
      <c r="CZ572" s="180"/>
    </row>
    <row r="573" spans="1:104" x14ac:dyDescent="0.45">
      <c r="A573" s="180" t="s">
        <v>12</v>
      </c>
      <c r="B573" s="73">
        <v>1</v>
      </c>
      <c r="C573" s="73"/>
      <c r="D573" s="180" t="s">
        <v>309</v>
      </c>
      <c r="E573" s="39">
        <v>43594</v>
      </c>
      <c r="F573" s="179">
        <v>0.77777777777777779</v>
      </c>
      <c r="G573" s="180">
        <v>1</v>
      </c>
      <c r="H573" s="180"/>
      <c r="I573" s="180"/>
      <c r="J573" s="180"/>
      <c r="K573" s="180"/>
      <c r="L573" s="180"/>
      <c r="M573" s="180"/>
      <c r="N573" s="180"/>
      <c r="O573" s="180"/>
      <c r="P573" s="180"/>
      <c r="AS573" s="180"/>
      <c r="AT573" s="180"/>
      <c r="AU573" s="180"/>
      <c r="AV573" s="180"/>
      <c r="AW573" s="180"/>
      <c r="AX573" s="180"/>
      <c r="AY573" s="180"/>
      <c r="AZ573" s="180"/>
      <c r="BA573" s="180"/>
      <c r="BB573" s="180"/>
      <c r="BC573" s="180"/>
      <c r="BD573" s="180"/>
      <c r="BE573" s="180"/>
      <c r="BF573" s="180"/>
      <c r="BG573" s="180"/>
      <c r="BH573" s="180"/>
      <c r="BI573" s="180"/>
      <c r="BJ573" s="180"/>
      <c r="BK573" s="180"/>
      <c r="BL573" s="180"/>
      <c r="BM573" s="180"/>
      <c r="BN573" s="180"/>
      <c r="BO573" s="180"/>
      <c r="BP573" s="180"/>
      <c r="BQ573" s="180"/>
      <c r="BR573" s="180"/>
      <c r="BS573" s="180"/>
      <c r="BT573" s="180"/>
      <c r="BU573" s="180"/>
      <c r="BV573" s="180"/>
      <c r="BW573" s="180"/>
      <c r="BX573" s="180"/>
      <c r="BY573" s="180"/>
      <c r="BZ573" s="180"/>
      <c r="CA573" s="180"/>
      <c r="CB573" s="180"/>
      <c r="CC573" s="180"/>
      <c r="CD573" s="180"/>
      <c r="CE573" s="180"/>
      <c r="CF573" s="180"/>
      <c r="CG573" s="180"/>
      <c r="CH573" s="180"/>
      <c r="CI573" s="180"/>
      <c r="CJ573" s="180"/>
      <c r="CK573" s="180"/>
      <c r="CL573" s="180"/>
      <c r="CM573" s="180"/>
      <c r="CN573" s="180"/>
      <c r="CO573" s="180"/>
      <c r="CP573" s="180"/>
      <c r="CQ573" s="180"/>
      <c r="CR573" s="180"/>
      <c r="CS573" s="180"/>
      <c r="CT573" s="180"/>
      <c r="CU573" s="180"/>
      <c r="CV573" s="180"/>
      <c r="CW573" s="180"/>
      <c r="CX573" s="180"/>
      <c r="CY573" s="180"/>
      <c r="CZ573" s="180"/>
    </row>
    <row r="574" spans="1:104" x14ac:dyDescent="0.45">
      <c r="A574" s="180" t="s">
        <v>12</v>
      </c>
      <c r="B574" s="73">
        <v>4</v>
      </c>
      <c r="C574" s="73">
        <v>4</v>
      </c>
      <c r="D574" s="180" t="s">
        <v>296</v>
      </c>
      <c r="E574" s="39">
        <v>43594</v>
      </c>
      <c r="F574" s="179">
        <v>0.76388888888888884</v>
      </c>
      <c r="G574" s="180">
        <v>1</v>
      </c>
      <c r="H574" s="180"/>
      <c r="I574" s="180"/>
      <c r="J574" s="180"/>
      <c r="K574" s="180"/>
      <c r="L574" s="180"/>
      <c r="M574" s="180"/>
      <c r="N574" s="180"/>
      <c r="O574" s="180"/>
      <c r="P574" s="180"/>
      <c r="AS574" s="180"/>
      <c r="AT574" s="180"/>
      <c r="AU574" s="180"/>
      <c r="AV574" s="180"/>
      <c r="AW574" s="180"/>
      <c r="AX574" s="180"/>
      <c r="AY574" s="180"/>
      <c r="AZ574" s="180"/>
      <c r="BA574" s="180"/>
      <c r="BB574" s="180"/>
      <c r="BC574" s="180"/>
      <c r="BD574" s="180"/>
      <c r="BE574" s="180"/>
      <c r="BF574" s="180"/>
      <c r="BG574" s="180"/>
      <c r="BH574" s="180"/>
      <c r="BI574" s="180"/>
      <c r="BJ574" s="180"/>
      <c r="BK574" s="180"/>
      <c r="BL574" s="180"/>
      <c r="BM574" s="180"/>
      <c r="BN574" s="180"/>
      <c r="BO574" s="180"/>
      <c r="BP574" s="180"/>
      <c r="BQ574" s="180"/>
      <c r="BR574" s="180"/>
      <c r="BS574" s="180"/>
      <c r="BT574" s="180"/>
      <c r="BU574" s="180"/>
      <c r="BV574" s="180"/>
      <c r="BW574" s="180"/>
      <c r="BX574" s="180"/>
      <c r="BY574" s="180"/>
      <c r="BZ574" s="180"/>
      <c r="CA574" s="180"/>
      <c r="CB574" s="180"/>
      <c r="CC574" s="180"/>
      <c r="CD574" s="180"/>
      <c r="CE574" s="180"/>
      <c r="CF574" s="180"/>
      <c r="CG574" s="180"/>
      <c r="CH574" s="180"/>
      <c r="CI574" s="180"/>
      <c r="CJ574" s="180"/>
      <c r="CK574" s="180"/>
      <c r="CL574" s="180"/>
      <c r="CM574" s="180"/>
      <c r="CN574" s="180"/>
      <c r="CO574" s="180"/>
      <c r="CP574" s="180"/>
      <c r="CQ574" s="180"/>
      <c r="CR574" s="180"/>
      <c r="CS574" s="180"/>
      <c r="CT574" s="180"/>
      <c r="CU574" s="180"/>
      <c r="CV574" s="180"/>
      <c r="CW574" s="180"/>
      <c r="CX574" s="180"/>
      <c r="CY574" s="180"/>
      <c r="CZ574" s="180"/>
    </row>
    <row r="575" spans="1:104" x14ac:dyDescent="0.45">
      <c r="A575" s="180" t="s">
        <v>12</v>
      </c>
      <c r="B575" s="73">
        <v>4</v>
      </c>
      <c r="C575" s="73"/>
      <c r="D575" s="180" t="s">
        <v>359</v>
      </c>
      <c r="E575" s="39">
        <v>43594</v>
      </c>
      <c r="F575" s="179">
        <v>0.75</v>
      </c>
      <c r="G575" s="180">
        <v>2</v>
      </c>
      <c r="H575" s="180"/>
      <c r="I575" s="180"/>
      <c r="J575" s="180"/>
      <c r="K575" s="180"/>
      <c r="L575" s="180"/>
      <c r="M575" s="180"/>
      <c r="N575" s="180"/>
      <c r="O575" s="180"/>
      <c r="P575" s="180"/>
      <c r="AS575" s="180"/>
      <c r="AT575" s="180"/>
      <c r="AU575" s="180"/>
      <c r="AV575" s="180"/>
      <c r="AW575" s="180"/>
      <c r="AX575" s="180"/>
      <c r="AY575" s="180"/>
      <c r="AZ575" s="180"/>
      <c r="BA575" s="180"/>
      <c r="BB575" s="180"/>
      <c r="BC575" s="180"/>
      <c r="BD575" s="180"/>
      <c r="BE575" s="180"/>
      <c r="BF575" s="180"/>
      <c r="BG575" s="180"/>
      <c r="BH575" s="180"/>
      <c r="BI575" s="180"/>
      <c r="BJ575" s="180"/>
      <c r="BK575" s="180"/>
      <c r="BL575" s="180"/>
      <c r="BM575" s="180"/>
      <c r="BN575" s="180"/>
      <c r="BO575" s="180"/>
      <c r="BP575" s="180"/>
      <c r="BQ575" s="180"/>
      <c r="BR575" s="180"/>
      <c r="BS575" s="180"/>
      <c r="BT575" s="180"/>
      <c r="BU575" s="180"/>
      <c r="BV575" s="180"/>
      <c r="BW575" s="180"/>
      <c r="BX575" s="180"/>
      <c r="BY575" s="180"/>
      <c r="BZ575" s="180"/>
      <c r="CA575" s="180"/>
      <c r="CB575" s="180"/>
      <c r="CC575" s="180"/>
      <c r="CD575" s="180"/>
      <c r="CE575" s="180"/>
      <c r="CF575" s="180"/>
      <c r="CG575" s="180"/>
      <c r="CH575" s="180"/>
      <c r="CI575" s="180"/>
      <c r="CJ575" s="180"/>
      <c r="CK575" s="180"/>
      <c r="CL575" s="180"/>
      <c r="CM575" s="180"/>
      <c r="CN575" s="180"/>
      <c r="CO575" s="180"/>
      <c r="CP575" s="180"/>
      <c r="CQ575" s="180"/>
      <c r="CR575" s="180"/>
      <c r="CS575" s="180"/>
      <c r="CT575" s="180"/>
      <c r="CU575" s="180"/>
      <c r="CV575" s="180"/>
      <c r="CW575" s="180"/>
      <c r="CX575" s="180"/>
      <c r="CY575" s="180"/>
      <c r="CZ575" s="180"/>
    </row>
    <row r="576" spans="1:104" x14ac:dyDescent="0.45">
      <c r="A576" s="180" t="s">
        <v>12</v>
      </c>
      <c r="B576" s="73">
        <v>3</v>
      </c>
      <c r="C576" s="73"/>
      <c r="D576" s="180" t="s">
        <v>317</v>
      </c>
      <c r="E576" s="39">
        <v>43595</v>
      </c>
      <c r="F576" s="179">
        <v>0.59930555555555554</v>
      </c>
      <c r="G576" s="180">
        <v>1</v>
      </c>
      <c r="H576" s="180" t="s">
        <v>465</v>
      </c>
      <c r="I576" s="180"/>
      <c r="J576" s="180"/>
      <c r="K576" s="180"/>
      <c r="L576" s="180"/>
      <c r="M576" s="180"/>
      <c r="N576" s="180"/>
      <c r="O576" s="180"/>
      <c r="P576" s="180"/>
      <c r="AS576" s="180"/>
      <c r="AT576" s="180"/>
      <c r="AU576" s="180"/>
      <c r="AV576" s="180"/>
      <c r="AW576" s="180"/>
      <c r="AX576" s="180"/>
      <c r="AY576" s="180"/>
      <c r="AZ576" s="180"/>
      <c r="BA576" s="180"/>
      <c r="BB576" s="180"/>
      <c r="BC576" s="180"/>
      <c r="BD576" s="180"/>
      <c r="BE576" s="180"/>
      <c r="BF576" s="180"/>
      <c r="BG576" s="180"/>
      <c r="BH576" s="180"/>
      <c r="BI576" s="180"/>
      <c r="BJ576" s="180"/>
      <c r="BK576" s="180"/>
      <c r="BL576" s="180"/>
      <c r="BM576" s="180"/>
      <c r="BN576" s="180"/>
      <c r="BO576" s="180"/>
      <c r="BP576" s="180"/>
      <c r="BQ576" s="180"/>
      <c r="BR576" s="180"/>
      <c r="BS576" s="180"/>
      <c r="BT576" s="180"/>
      <c r="BU576" s="180"/>
      <c r="BV576" s="180"/>
      <c r="BW576" s="180"/>
      <c r="BX576" s="180"/>
      <c r="BY576" s="180"/>
      <c r="BZ576" s="180"/>
      <c r="CA576" s="180"/>
      <c r="CB576" s="180"/>
      <c r="CC576" s="180"/>
      <c r="CD576" s="180"/>
      <c r="CE576" s="180"/>
      <c r="CF576" s="180"/>
      <c r="CG576" s="180"/>
      <c r="CH576" s="180"/>
      <c r="CI576" s="180"/>
      <c r="CJ576" s="180"/>
      <c r="CK576" s="180"/>
      <c r="CL576" s="180"/>
      <c r="CM576" s="180"/>
      <c r="CN576" s="180"/>
      <c r="CO576" s="180"/>
      <c r="CP576" s="180"/>
      <c r="CQ576" s="180"/>
      <c r="CR576" s="180"/>
      <c r="CS576" s="180"/>
      <c r="CT576" s="180"/>
      <c r="CU576" s="180"/>
      <c r="CV576" s="180"/>
      <c r="CW576" s="180"/>
      <c r="CX576" s="180"/>
      <c r="CY576" s="180"/>
      <c r="CZ576" s="180"/>
    </row>
    <row r="577" spans="1:104" x14ac:dyDescent="0.45">
      <c r="A577" s="180" t="s">
        <v>12</v>
      </c>
      <c r="B577" s="73">
        <v>2</v>
      </c>
      <c r="C577" s="73"/>
      <c r="D577" s="180" t="s">
        <v>296</v>
      </c>
      <c r="E577" s="39">
        <v>43595</v>
      </c>
      <c r="F577" s="179">
        <v>0.27083333333333331</v>
      </c>
      <c r="G577" s="180">
        <v>5</v>
      </c>
      <c r="H577" s="180"/>
      <c r="I577" s="180" t="s">
        <v>466</v>
      </c>
      <c r="J577" s="180"/>
      <c r="K577" s="180"/>
      <c r="L577" s="180"/>
      <c r="M577" s="180"/>
      <c r="N577" s="180"/>
      <c r="O577" s="180"/>
      <c r="P577" s="180"/>
      <c r="AS577" s="180"/>
      <c r="AT577" s="180"/>
      <c r="AU577" s="180"/>
      <c r="AV577" s="180"/>
      <c r="AW577" s="180"/>
      <c r="AX577" s="180"/>
      <c r="AY577" s="180"/>
      <c r="AZ577" s="180"/>
      <c r="BA577" s="180"/>
      <c r="BB577" s="180"/>
      <c r="BC577" s="180"/>
      <c r="BD577" s="180"/>
      <c r="BE577" s="180"/>
      <c r="BF577" s="180"/>
      <c r="BG577" s="180"/>
      <c r="BH577" s="180"/>
      <c r="BI577" s="180"/>
      <c r="BJ577" s="180"/>
      <c r="BK577" s="180"/>
      <c r="BL577" s="180"/>
      <c r="BM577" s="180"/>
      <c r="BN577" s="180"/>
      <c r="BO577" s="180"/>
      <c r="BP577" s="180"/>
      <c r="BQ577" s="180"/>
      <c r="BR577" s="180"/>
      <c r="BS577" s="180"/>
      <c r="BT577" s="180"/>
      <c r="BU577" s="180"/>
      <c r="BV577" s="180"/>
      <c r="BW577" s="180"/>
      <c r="BX577" s="180"/>
      <c r="BY577" s="180"/>
      <c r="BZ577" s="180"/>
      <c r="CA577" s="180"/>
      <c r="CB577" s="180"/>
      <c r="CC577" s="180"/>
      <c r="CD577" s="180"/>
      <c r="CE577" s="180"/>
      <c r="CF577" s="180"/>
      <c r="CG577" s="180"/>
      <c r="CH577" s="180"/>
      <c r="CI577" s="180"/>
      <c r="CJ577" s="180"/>
      <c r="CK577" s="180"/>
      <c r="CL577" s="180"/>
      <c r="CM577" s="180"/>
      <c r="CN577" s="180"/>
      <c r="CO577" s="180"/>
      <c r="CP577" s="180"/>
      <c r="CQ577" s="180"/>
      <c r="CR577" s="180"/>
      <c r="CS577" s="180"/>
      <c r="CT577" s="180"/>
      <c r="CU577" s="180"/>
      <c r="CV577" s="180"/>
      <c r="CW577" s="180"/>
      <c r="CX577" s="180"/>
      <c r="CY577" s="180"/>
      <c r="CZ577" s="180"/>
    </row>
    <row r="578" spans="1:104" x14ac:dyDescent="0.45">
      <c r="A578" s="180" t="s">
        <v>12</v>
      </c>
      <c r="B578" s="73">
        <v>2</v>
      </c>
      <c r="C578" s="73"/>
      <c r="D578" s="180" t="s">
        <v>296</v>
      </c>
      <c r="E578" s="39">
        <v>43595</v>
      </c>
      <c r="F578" s="179">
        <v>0.27083333333333331</v>
      </c>
      <c r="G578" s="180">
        <v>5</v>
      </c>
      <c r="H578" s="180"/>
      <c r="I578" s="180"/>
      <c r="J578" s="180"/>
      <c r="K578" s="180"/>
      <c r="L578" s="180"/>
      <c r="M578" s="180"/>
      <c r="N578" s="180"/>
      <c r="O578" s="180"/>
      <c r="P578" s="180"/>
      <c r="AS578" s="180"/>
      <c r="AT578" s="180"/>
      <c r="AU578" s="180"/>
      <c r="AV578" s="180"/>
      <c r="AW578" s="180"/>
      <c r="AX578" s="180"/>
      <c r="AY578" s="180"/>
      <c r="AZ578" s="180"/>
      <c r="BA578" s="180"/>
      <c r="BB578" s="180"/>
      <c r="BC578" s="180"/>
      <c r="BD578" s="180"/>
      <c r="BE578" s="180"/>
      <c r="BF578" s="180"/>
      <c r="BG578" s="180"/>
      <c r="BH578" s="180"/>
      <c r="BI578" s="180"/>
      <c r="BJ578" s="180"/>
      <c r="BK578" s="180"/>
      <c r="BL578" s="180"/>
      <c r="BM578" s="180"/>
      <c r="BN578" s="180"/>
      <c r="BO578" s="180"/>
      <c r="BP578" s="180"/>
      <c r="BQ578" s="180"/>
      <c r="BR578" s="180"/>
      <c r="BS578" s="180"/>
      <c r="BT578" s="180"/>
      <c r="BU578" s="180"/>
      <c r="BV578" s="180"/>
      <c r="BW578" s="180"/>
      <c r="BX578" s="180"/>
      <c r="BY578" s="180"/>
      <c r="BZ578" s="180"/>
      <c r="CA578" s="180"/>
      <c r="CB578" s="180"/>
      <c r="CC578" s="180"/>
      <c r="CD578" s="180"/>
      <c r="CE578" s="180"/>
      <c r="CF578" s="180"/>
      <c r="CG578" s="180"/>
      <c r="CH578" s="180"/>
      <c r="CI578" s="180"/>
      <c r="CJ578" s="180"/>
      <c r="CK578" s="180"/>
      <c r="CL578" s="180"/>
      <c r="CM578" s="180"/>
      <c r="CN578" s="180"/>
      <c r="CO578" s="180"/>
      <c r="CP578" s="180"/>
      <c r="CQ578" s="180"/>
      <c r="CR578" s="180"/>
      <c r="CS578" s="180"/>
      <c r="CT578" s="180"/>
      <c r="CU578" s="180"/>
      <c r="CV578" s="180"/>
      <c r="CW578" s="180"/>
      <c r="CX578" s="180"/>
      <c r="CY578" s="180"/>
      <c r="CZ578" s="180"/>
    </row>
    <row r="579" spans="1:104" x14ac:dyDescent="0.45">
      <c r="A579" s="180" t="s">
        <v>12</v>
      </c>
      <c r="B579" s="73">
        <v>2</v>
      </c>
      <c r="C579" s="73"/>
      <c r="D579" s="180" t="s">
        <v>296</v>
      </c>
      <c r="E579" s="39">
        <v>43595</v>
      </c>
      <c r="F579" s="179">
        <v>0.27083333333333331</v>
      </c>
      <c r="G579" s="180">
        <v>5</v>
      </c>
      <c r="H579" s="180"/>
      <c r="I579" s="180"/>
      <c r="J579" s="180"/>
      <c r="K579" s="180"/>
      <c r="L579" s="180"/>
      <c r="M579" s="180"/>
      <c r="N579" s="180"/>
      <c r="O579" s="180"/>
      <c r="P579" s="180"/>
      <c r="AS579" s="180"/>
      <c r="AT579" s="180"/>
      <c r="AU579" s="180"/>
      <c r="AV579" s="180"/>
      <c r="AW579" s="180"/>
      <c r="AX579" s="180"/>
      <c r="AY579" s="180"/>
      <c r="AZ579" s="180"/>
      <c r="BA579" s="180"/>
      <c r="BB579" s="180"/>
      <c r="BC579" s="180"/>
      <c r="BD579" s="180"/>
      <c r="BE579" s="180"/>
      <c r="BF579" s="180"/>
      <c r="BG579" s="180"/>
      <c r="BH579" s="180"/>
      <c r="BI579" s="180"/>
      <c r="BJ579" s="180"/>
      <c r="BK579" s="180"/>
      <c r="BL579" s="180"/>
      <c r="BM579" s="180"/>
      <c r="BN579" s="180"/>
      <c r="BO579" s="180"/>
      <c r="BP579" s="180"/>
      <c r="BQ579" s="180"/>
      <c r="BR579" s="180"/>
      <c r="BS579" s="180"/>
      <c r="BT579" s="180"/>
      <c r="BU579" s="180"/>
      <c r="BV579" s="180"/>
      <c r="BW579" s="180"/>
      <c r="BX579" s="180"/>
      <c r="BY579" s="180"/>
      <c r="BZ579" s="180"/>
      <c r="CA579" s="180"/>
      <c r="CB579" s="180"/>
      <c r="CC579" s="180"/>
      <c r="CD579" s="180"/>
      <c r="CE579" s="180"/>
      <c r="CF579" s="180"/>
      <c r="CG579" s="180"/>
      <c r="CH579" s="180"/>
      <c r="CI579" s="180"/>
      <c r="CJ579" s="180"/>
      <c r="CK579" s="180"/>
      <c r="CL579" s="180"/>
      <c r="CM579" s="180"/>
      <c r="CN579" s="180"/>
      <c r="CO579" s="180"/>
      <c r="CP579" s="180"/>
      <c r="CQ579" s="180"/>
      <c r="CR579" s="180"/>
      <c r="CS579" s="180"/>
      <c r="CT579" s="180"/>
      <c r="CU579" s="180"/>
      <c r="CV579" s="180"/>
      <c r="CW579" s="180"/>
      <c r="CX579" s="180"/>
      <c r="CY579" s="180"/>
      <c r="CZ579" s="180"/>
    </row>
    <row r="580" spans="1:104" x14ac:dyDescent="0.45">
      <c r="A580" s="180" t="s">
        <v>12</v>
      </c>
      <c r="B580" s="73">
        <v>2</v>
      </c>
      <c r="C580" s="73"/>
      <c r="D580" s="180" t="s">
        <v>296</v>
      </c>
      <c r="E580" s="39">
        <v>43595</v>
      </c>
      <c r="F580" s="179">
        <v>0.27083333333333331</v>
      </c>
      <c r="G580" s="180">
        <v>5</v>
      </c>
      <c r="H580" s="180"/>
      <c r="I580" s="180"/>
      <c r="J580" s="180"/>
      <c r="K580" s="180"/>
      <c r="L580" s="180"/>
      <c r="M580" s="180"/>
      <c r="N580" s="180"/>
      <c r="O580" s="180"/>
      <c r="P580" s="180"/>
      <c r="AS580" s="180"/>
      <c r="AT580" s="180"/>
      <c r="AU580" s="180"/>
      <c r="AV580" s="180"/>
      <c r="AW580" s="180"/>
      <c r="AX580" s="180"/>
      <c r="AY580" s="180"/>
      <c r="AZ580" s="180"/>
      <c r="BA580" s="180"/>
      <c r="BB580" s="180"/>
      <c r="BC580" s="180"/>
      <c r="BD580" s="180"/>
      <c r="BE580" s="180"/>
      <c r="BF580" s="180"/>
      <c r="BG580" s="180"/>
      <c r="BH580" s="180"/>
      <c r="BI580" s="180"/>
      <c r="BJ580" s="180"/>
      <c r="BK580" s="180"/>
      <c r="BL580" s="180"/>
      <c r="BM580" s="180"/>
      <c r="BN580" s="180"/>
      <c r="BO580" s="180"/>
      <c r="BP580" s="180"/>
      <c r="BQ580" s="180"/>
      <c r="BR580" s="180"/>
      <c r="BS580" s="180"/>
      <c r="BT580" s="180"/>
      <c r="BU580" s="180"/>
      <c r="BV580" s="180"/>
      <c r="BW580" s="180"/>
      <c r="BX580" s="180"/>
      <c r="BY580" s="180"/>
      <c r="BZ580" s="180"/>
      <c r="CA580" s="180"/>
      <c r="CB580" s="180"/>
      <c r="CC580" s="180"/>
      <c r="CD580" s="180"/>
      <c r="CE580" s="180"/>
      <c r="CF580" s="180"/>
      <c r="CG580" s="180"/>
      <c r="CH580" s="180"/>
      <c r="CI580" s="180"/>
      <c r="CJ580" s="180"/>
      <c r="CK580" s="180"/>
      <c r="CL580" s="180"/>
      <c r="CM580" s="180"/>
      <c r="CN580" s="180"/>
      <c r="CO580" s="180"/>
      <c r="CP580" s="180"/>
      <c r="CQ580" s="180"/>
      <c r="CR580" s="180"/>
      <c r="CS580" s="180"/>
      <c r="CT580" s="180"/>
      <c r="CU580" s="180"/>
      <c r="CV580" s="180"/>
      <c r="CW580" s="180"/>
      <c r="CX580" s="180"/>
      <c r="CY580" s="180"/>
      <c r="CZ580" s="180"/>
    </row>
    <row r="581" spans="1:104" x14ac:dyDescent="0.45">
      <c r="A581" s="180" t="s">
        <v>12</v>
      </c>
      <c r="B581" s="73">
        <v>2</v>
      </c>
      <c r="C581" s="73"/>
      <c r="D581" s="180" t="s">
        <v>296</v>
      </c>
      <c r="E581" s="39">
        <v>43595</v>
      </c>
      <c r="F581" s="179">
        <v>0.27083333333333331</v>
      </c>
      <c r="G581" s="180">
        <v>5</v>
      </c>
      <c r="H581" s="180"/>
      <c r="I581" s="180"/>
      <c r="J581" s="180"/>
      <c r="K581" s="180"/>
      <c r="L581" s="180"/>
      <c r="M581" s="180"/>
      <c r="N581" s="180"/>
      <c r="O581" s="180"/>
      <c r="P581" s="180"/>
      <c r="AS581" s="180"/>
      <c r="AT581" s="180"/>
      <c r="AU581" s="180"/>
      <c r="AV581" s="180"/>
      <c r="AW581" s="180"/>
      <c r="AX581" s="180"/>
      <c r="AY581" s="180"/>
      <c r="AZ581" s="180"/>
      <c r="BA581" s="180"/>
      <c r="BB581" s="180"/>
      <c r="BC581" s="180"/>
      <c r="BD581" s="180"/>
      <c r="BE581" s="180"/>
      <c r="BF581" s="180"/>
      <c r="BG581" s="180"/>
      <c r="BH581" s="180"/>
      <c r="BI581" s="180"/>
      <c r="BJ581" s="180"/>
      <c r="BK581" s="180"/>
      <c r="BL581" s="180"/>
      <c r="BM581" s="180"/>
      <c r="BN581" s="180"/>
      <c r="BO581" s="180"/>
      <c r="BP581" s="180"/>
      <c r="BQ581" s="180"/>
      <c r="BR581" s="180"/>
      <c r="BS581" s="180"/>
      <c r="BT581" s="180"/>
      <c r="BU581" s="180"/>
      <c r="BV581" s="180"/>
      <c r="BW581" s="180"/>
      <c r="BX581" s="180"/>
      <c r="BY581" s="180"/>
      <c r="BZ581" s="180"/>
      <c r="CA581" s="180"/>
      <c r="CB581" s="180"/>
      <c r="CC581" s="180"/>
      <c r="CD581" s="180"/>
      <c r="CE581" s="180"/>
      <c r="CF581" s="180"/>
      <c r="CG581" s="180"/>
      <c r="CH581" s="180"/>
      <c r="CI581" s="180"/>
      <c r="CJ581" s="180"/>
      <c r="CK581" s="180"/>
      <c r="CL581" s="180"/>
      <c r="CM581" s="180"/>
      <c r="CN581" s="180"/>
      <c r="CO581" s="180"/>
      <c r="CP581" s="180"/>
      <c r="CQ581" s="180"/>
      <c r="CR581" s="180"/>
      <c r="CS581" s="180"/>
      <c r="CT581" s="180"/>
      <c r="CU581" s="180"/>
      <c r="CV581" s="180"/>
      <c r="CW581" s="180"/>
      <c r="CX581" s="180"/>
      <c r="CY581" s="180"/>
      <c r="CZ581" s="180"/>
    </row>
    <row r="582" spans="1:104" x14ac:dyDescent="0.45">
      <c r="A582" s="180" t="s">
        <v>12</v>
      </c>
      <c r="B582" s="73">
        <v>9</v>
      </c>
      <c r="C582" s="73">
        <v>9</v>
      </c>
      <c r="D582" s="180" t="s">
        <v>296</v>
      </c>
      <c r="E582" s="39">
        <v>43595</v>
      </c>
      <c r="F582" s="179">
        <v>0.76874999999999993</v>
      </c>
      <c r="G582" s="180">
        <v>1</v>
      </c>
      <c r="H582" s="180"/>
      <c r="I582" s="180"/>
      <c r="J582" s="180"/>
      <c r="K582" s="180"/>
      <c r="L582" s="180"/>
      <c r="M582" s="180"/>
      <c r="N582" s="180"/>
      <c r="O582" s="180"/>
      <c r="P582" s="180"/>
      <c r="AS582" s="180"/>
      <c r="AT582" s="180"/>
      <c r="AU582" s="180"/>
      <c r="AV582" s="180"/>
      <c r="AW582" s="180"/>
      <c r="AX582" s="180"/>
      <c r="AY582" s="180"/>
      <c r="AZ582" s="180"/>
      <c r="BA582" s="180"/>
      <c r="BB582" s="180"/>
      <c r="BC582" s="180"/>
      <c r="BD582" s="180"/>
      <c r="BE582" s="180"/>
      <c r="BF582" s="180"/>
      <c r="BG582" s="180"/>
      <c r="BH582" s="180"/>
      <c r="BI582" s="180"/>
      <c r="BJ582" s="180"/>
      <c r="BK582" s="180"/>
      <c r="BL582" s="180"/>
      <c r="BM582" s="180"/>
      <c r="BN582" s="180"/>
      <c r="BO582" s="180"/>
      <c r="BP582" s="180"/>
      <c r="BQ582" s="180"/>
      <c r="BR582" s="180"/>
      <c r="BS582" s="180"/>
      <c r="BT582" s="180"/>
      <c r="BU582" s="180"/>
      <c r="BV582" s="180"/>
      <c r="BW582" s="180"/>
      <c r="BX582" s="180"/>
      <c r="BY582" s="180"/>
      <c r="BZ582" s="180"/>
      <c r="CA582" s="180"/>
      <c r="CB582" s="180"/>
      <c r="CC582" s="180"/>
      <c r="CD582" s="180"/>
      <c r="CE582" s="180"/>
      <c r="CF582" s="180"/>
      <c r="CG582" s="180"/>
      <c r="CH582" s="180"/>
      <c r="CI582" s="180"/>
      <c r="CJ582" s="180"/>
      <c r="CK582" s="180"/>
      <c r="CL582" s="180"/>
      <c r="CM582" s="180"/>
      <c r="CN582" s="180"/>
      <c r="CO582" s="180"/>
      <c r="CP582" s="180"/>
      <c r="CQ582" s="180"/>
      <c r="CR582" s="180"/>
      <c r="CS582" s="180"/>
      <c r="CT582" s="180"/>
      <c r="CU582" s="180"/>
      <c r="CV582" s="180"/>
      <c r="CW582" s="180"/>
      <c r="CX582" s="180"/>
      <c r="CY582" s="180"/>
      <c r="CZ582" s="180"/>
    </row>
    <row r="583" spans="1:104" x14ac:dyDescent="0.45">
      <c r="A583" s="180" t="s">
        <v>12</v>
      </c>
      <c r="B583" s="73">
        <v>1</v>
      </c>
      <c r="C583" s="73"/>
      <c r="D583" s="180" t="s">
        <v>271</v>
      </c>
      <c r="E583" s="39">
        <v>43595</v>
      </c>
      <c r="F583" s="180"/>
      <c r="G583" s="180"/>
      <c r="H583" s="180"/>
      <c r="I583" s="180"/>
      <c r="J583" s="180"/>
      <c r="K583" s="180"/>
      <c r="L583" s="180"/>
      <c r="M583" s="180"/>
      <c r="N583" s="180"/>
      <c r="O583" s="180"/>
      <c r="P583" s="180"/>
      <c r="AS583" s="180"/>
      <c r="AT583" s="180"/>
      <c r="AU583" s="180"/>
      <c r="AV583" s="180"/>
      <c r="AW583" s="180"/>
      <c r="AX583" s="180"/>
      <c r="AY583" s="180"/>
      <c r="AZ583" s="180"/>
      <c r="BA583" s="180"/>
      <c r="BB583" s="180"/>
      <c r="BC583" s="180"/>
      <c r="BD583" s="180"/>
      <c r="BE583" s="180"/>
      <c r="BF583" s="180"/>
      <c r="BG583" s="180"/>
      <c r="BH583" s="180"/>
      <c r="BI583" s="180"/>
      <c r="BJ583" s="180"/>
      <c r="BK583" s="180"/>
      <c r="BL583" s="180"/>
      <c r="BM583" s="180"/>
      <c r="BN583" s="180"/>
      <c r="BO583" s="180"/>
      <c r="BP583" s="180"/>
      <c r="BQ583" s="180"/>
      <c r="BR583" s="180"/>
      <c r="BS583" s="180"/>
      <c r="BT583" s="180"/>
      <c r="BU583" s="180"/>
      <c r="BV583" s="180"/>
      <c r="BW583" s="180"/>
      <c r="BX583" s="180"/>
      <c r="BY583" s="180"/>
      <c r="BZ583" s="180"/>
      <c r="CA583" s="180"/>
      <c r="CB583" s="180"/>
      <c r="CC583" s="180"/>
      <c r="CD583" s="180"/>
      <c r="CE583" s="180"/>
      <c r="CF583" s="180"/>
      <c r="CG583" s="180"/>
      <c r="CH583" s="180"/>
      <c r="CI583" s="180"/>
      <c r="CJ583" s="180"/>
      <c r="CK583" s="180"/>
      <c r="CL583" s="180"/>
      <c r="CM583" s="180"/>
      <c r="CN583" s="180"/>
      <c r="CO583" s="180"/>
      <c r="CP583" s="180"/>
      <c r="CQ583" s="180"/>
      <c r="CR583" s="180"/>
      <c r="CS583" s="180"/>
      <c r="CT583" s="180"/>
      <c r="CU583" s="180"/>
      <c r="CV583" s="180"/>
      <c r="CW583" s="180"/>
      <c r="CX583" s="180"/>
      <c r="CY583" s="180"/>
      <c r="CZ583" s="180"/>
    </row>
    <row r="584" spans="1:104" x14ac:dyDescent="0.45">
      <c r="A584" s="180" t="s">
        <v>12</v>
      </c>
      <c r="B584" s="73">
        <v>12</v>
      </c>
      <c r="C584" s="73">
        <v>12</v>
      </c>
      <c r="D584" s="180" t="s">
        <v>271</v>
      </c>
      <c r="E584" s="39">
        <v>43595</v>
      </c>
      <c r="F584" s="179">
        <v>0.625</v>
      </c>
      <c r="G584" s="180">
        <v>1</v>
      </c>
      <c r="H584" s="180"/>
      <c r="I584" s="180"/>
      <c r="J584" s="180"/>
      <c r="K584" s="180"/>
      <c r="L584" s="180"/>
      <c r="M584" s="180"/>
      <c r="N584" s="180"/>
      <c r="O584" s="180"/>
      <c r="P584" s="180"/>
      <c r="AS584" s="180"/>
      <c r="AT584" s="180"/>
      <c r="AU584" s="180"/>
      <c r="AV584" s="180"/>
      <c r="AW584" s="180"/>
      <c r="AX584" s="180"/>
      <c r="AY584" s="180"/>
      <c r="AZ584" s="180"/>
      <c r="BA584" s="180"/>
      <c r="BB584" s="180"/>
      <c r="BC584" s="180"/>
      <c r="BD584" s="180"/>
      <c r="BE584" s="180"/>
      <c r="BF584" s="180"/>
      <c r="BG584" s="180"/>
      <c r="BH584" s="180"/>
      <c r="BI584" s="180"/>
      <c r="BJ584" s="180"/>
      <c r="BK584" s="180"/>
      <c r="BL584" s="180"/>
      <c r="BM584" s="180"/>
      <c r="BN584" s="180"/>
      <c r="BO584" s="180"/>
      <c r="BP584" s="180"/>
      <c r="BQ584" s="180"/>
      <c r="BR584" s="180"/>
      <c r="BS584" s="180"/>
      <c r="BT584" s="180"/>
      <c r="BU584" s="180"/>
      <c r="BV584" s="180"/>
      <c r="BW584" s="180"/>
      <c r="BX584" s="180"/>
      <c r="BY584" s="180"/>
      <c r="BZ584" s="180"/>
      <c r="CA584" s="180"/>
      <c r="CB584" s="180"/>
      <c r="CC584" s="180"/>
      <c r="CD584" s="180"/>
      <c r="CE584" s="180"/>
      <c r="CF584" s="180"/>
      <c r="CG584" s="180"/>
      <c r="CH584" s="180"/>
      <c r="CI584" s="180"/>
      <c r="CJ584" s="180"/>
      <c r="CK584" s="180"/>
      <c r="CL584" s="180"/>
      <c r="CM584" s="180"/>
      <c r="CN584" s="180"/>
      <c r="CO584" s="180"/>
      <c r="CP584" s="180"/>
      <c r="CQ584" s="180"/>
      <c r="CR584" s="180"/>
      <c r="CS584" s="180"/>
      <c r="CT584" s="180"/>
      <c r="CU584" s="180"/>
      <c r="CV584" s="180"/>
      <c r="CW584" s="180"/>
      <c r="CX584" s="180"/>
      <c r="CY584" s="180"/>
      <c r="CZ584" s="180"/>
    </row>
    <row r="585" spans="1:104" x14ac:dyDescent="0.45">
      <c r="A585" s="180" t="s">
        <v>12</v>
      </c>
      <c r="B585" s="73">
        <v>2</v>
      </c>
      <c r="C585" s="73"/>
      <c r="D585" s="180" t="s">
        <v>415</v>
      </c>
      <c r="E585" s="39">
        <v>43595</v>
      </c>
      <c r="F585" s="180"/>
      <c r="G585" s="180"/>
      <c r="H585" s="180"/>
      <c r="I585" s="180"/>
      <c r="J585" s="180"/>
      <c r="K585" s="180"/>
      <c r="L585" s="180"/>
      <c r="M585" s="180"/>
      <c r="N585" s="180"/>
      <c r="O585" s="180"/>
      <c r="P585" s="180"/>
      <c r="AS585" s="180"/>
      <c r="AT585" s="180"/>
      <c r="AU585" s="180"/>
      <c r="AV585" s="180"/>
      <c r="AW585" s="180"/>
      <c r="AX585" s="180"/>
      <c r="AY585" s="180"/>
      <c r="AZ585" s="180"/>
      <c r="BA585" s="180"/>
      <c r="BB585" s="180"/>
      <c r="BC585" s="180"/>
      <c r="BD585" s="180"/>
      <c r="BE585" s="180"/>
      <c r="BF585" s="180"/>
      <c r="BG585" s="180"/>
      <c r="BH585" s="180"/>
      <c r="BI585" s="180"/>
      <c r="BJ585" s="180"/>
      <c r="BK585" s="180"/>
      <c r="BL585" s="180"/>
      <c r="BM585" s="180"/>
      <c r="BN585" s="180"/>
      <c r="BO585" s="180"/>
      <c r="BP585" s="180"/>
      <c r="BQ585" s="180"/>
      <c r="BR585" s="180"/>
      <c r="BS585" s="180"/>
      <c r="BT585" s="180"/>
      <c r="BU585" s="180"/>
      <c r="BV585" s="180"/>
      <c r="BW585" s="180"/>
      <c r="BX585" s="180"/>
      <c r="BY585" s="180"/>
      <c r="BZ585" s="180"/>
      <c r="CA585" s="180"/>
      <c r="CB585" s="180"/>
      <c r="CC585" s="180"/>
      <c r="CD585" s="180"/>
      <c r="CE585" s="180"/>
      <c r="CF585" s="180"/>
      <c r="CG585" s="180"/>
      <c r="CH585" s="180"/>
      <c r="CI585" s="180"/>
      <c r="CJ585" s="180"/>
      <c r="CK585" s="180"/>
      <c r="CL585" s="180"/>
      <c r="CM585" s="180"/>
      <c r="CN585" s="180"/>
      <c r="CO585" s="180"/>
      <c r="CP585" s="180"/>
      <c r="CQ585" s="180"/>
      <c r="CR585" s="180"/>
      <c r="CS585" s="180"/>
      <c r="CT585" s="180"/>
      <c r="CU585" s="180"/>
      <c r="CV585" s="180"/>
      <c r="CW585" s="180"/>
      <c r="CX585" s="180"/>
      <c r="CY585" s="180"/>
      <c r="CZ585" s="180"/>
    </row>
    <row r="586" spans="1:104" x14ac:dyDescent="0.45">
      <c r="A586" s="180" t="s">
        <v>12</v>
      </c>
      <c r="B586" s="73">
        <v>2</v>
      </c>
      <c r="C586" s="73"/>
      <c r="D586" s="180" t="s">
        <v>384</v>
      </c>
      <c r="E586" s="39">
        <v>43596</v>
      </c>
      <c r="F586" s="179">
        <v>0.37847222222222227</v>
      </c>
      <c r="G586" s="180">
        <v>1</v>
      </c>
      <c r="H586" s="180"/>
      <c r="I586" s="180"/>
      <c r="J586" s="180"/>
      <c r="K586" s="180"/>
      <c r="L586" s="180"/>
      <c r="M586" s="180"/>
      <c r="N586" s="180"/>
      <c r="O586" s="180"/>
      <c r="P586" s="180"/>
      <c r="AS586" s="180"/>
      <c r="AT586" s="180"/>
      <c r="AU586" s="180"/>
      <c r="AV586" s="180"/>
      <c r="AW586" s="180"/>
      <c r="AX586" s="180"/>
      <c r="AY586" s="180"/>
      <c r="AZ586" s="180"/>
      <c r="BA586" s="180"/>
      <c r="BB586" s="180"/>
      <c r="BC586" s="180"/>
      <c r="BD586" s="180"/>
      <c r="BE586" s="180"/>
      <c r="BF586" s="180"/>
      <c r="BG586" s="180"/>
      <c r="BH586" s="180"/>
      <c r="BI586" s="180"/>
      <c r="BJ586" s="180"/>
      <c r="BK586" s="180"/>
      <c r="BL586" s="180"/>
      <c r="BM586" s="180"/>
      <c r="BN586" s="180"/>
      <c r="BO586" s="180"/>
      <c r="BP586" s="180"/>
      <c r="BQ586" s="180"/>
      <c r="BR586" s="180"/>
      <c r="BS586" s="180"/>
      <c r="BT586" s="180"/>
      <c r="BU586" s="180"/>
      <c r="BV586" s="180"/>
      <c r="BW586" s="180"/>
      <c r="BX586" s="180"/>
      <c r="BY586" s="180"/>
      <c r="BZ586" s="180"/>
      <c r="CA586" s="180"/>
      <c r="CB586" s="180"/>
      <c r="CC586" s="180"/>
      <c r="CD586" s="180"/>
      <c r="CE586" s="180"/>
      <c r="CF586" s="180"/>
      <c r="CG586" s="180"/>
      <c r="CH586" s="180"/>
      <c r="CI586" s="180"/>
      <c r="CJ586" s="180"/>
      <c r="CK586" s="180"/>
      <c r="CL586" s="180"/>
      <c r="CM586" s="180"/>
      <c r="CN586" s="180"/>
      <c r="CO586" s="180"/>
      <c r="CP586" s="180"/>
      <c r="CQ586" s="180"/>
      <c r="CR586" s="180"/>
      <c r="CS586" s="180"/>
      <c r="CT586" s="180"/>
      <c r="CU586" s="180"/>
      <c r="CV586" s="180"/>
      <c r="CW586" s="180"/>
      <c r="CX586" s="180"/>
      <c r="CY586" s="180"/>
      <c r="CZ586" s="180"/>
    </row>
    <row r="587" spans="1:104" x14ac:dyDescent="0.45">
      <c r="A587" s="180" t="s">
        <v>12</v>
      </c>
      <c r="B587" s="73">
        <v>2</v>
      </c>
      <c r="C587" s="73"/>
      <c r="D587" s="180" t="s">
        <v>384</v>
      </c>
      <c r="E587" s="39">
        <v>43596</v>
      </c>
      <c r="F587" s="179">
        <v>0.37847222222222227</v>
      </c>
      <c r="G587" s="180">
        <v>1</v>
      </c>
      <c r="H587" s="180"/>
      <c r="I587" s="180"/>
      <c r="J587" s="180"/>
      <c r="K587" s="180"/>
      <c r="L587" s="180"/>
      <c r="M587" s="180"/>
      <c r="N587" s="180"/>
      <c r="O587" s="180"/>
      <c r="P587" s="180"/>
      <c r="AS587" s="180"/>
      <c r="AT587" s="180"/>
      <c r="AU587" s="180"/>
      <c r="AV587" s="180"/>
      <c r="AW587" s="180"/>
      <c r="AX587" s="180"/>
      <c r="AY587" s="180"/>
      <c r="AZ587" s="180"/>
      <c r="BA587" s="180"/>
      <c r="BB587" s="180"/>
      <c r="BC587" s="180"/>
      <c r="BD587" s="180"/>
      <c r="BE587" s="180"/>
      <c r="BF587" s="180"/>
      <c r="BG587" s="180"/>
      <c r="BH587" s="180"/>
      <c r="BI587" s="180"/>
      <c r="BJ587" s="180"/>
      <c r="BK587" s="180"/>
      <c r="BL587" s="180"/>
      <c r="BM587" s="180"/>
      <c r="BN587" s="180"/>
      <c r="BO587" s="180"/>
      <c r="BP587" s="180"/>
      <c r="BQ587" s="180"/>
      <c r="BR587" s="180"/>
      <c r="BS587" s="180"/>
      <c r="BT587" s="180"/>
      <c r="BU587" s="180"/>
      <c r="BV587" s="180"/>
      <c r="BW587" s="180"/>
      <c r="BX587" s="180"/>
      <c r="BY587" s="180"/>
      <c r="BZ587" s="180"/>
      <c r="CA587" s="180"/>
      <c r="CB587" s="180"/>
      <c r="CC587" s="180"/>
      <c r="CD587" s="180"/>
      <c r="CE587" s="180"/>
      <c r="CF587" s="180"/>
      <c r="CG587" s="180"/>
      <c r="CH587" s="180"/>
      <c r="CI587" s="180"/>
      <c r="CJ587" s="180"/>
      <c r="CK587" s="180"/>
      <c r="CL587" s="180"/>
      <c r="CM587" s="180"/>
      <c r="CN587" s="180"/>
      <c r="CO587" s="180"/>
      <c r="CP587" s="180"/>
      <c r="CQ587" s="180"/>
      <c r="CR587" s="180"/>
      <c r="CS587" s="180"/>
      <c r="CT587" s="180"/>
      <c r="CU587" s="180"/>
      <c r="CV587" s="180"/>
      <c r="CW587" s="180"/>
      <c r="CX587" s="180"/>
      <c r="CY587" s="180"/>
      <c r="CZ587" s="180"/>
    </row>
    <row r="588" spans="1:104" x14ac:dyDescent="0.45">
      <c r="A588" s="180" t="s">
        <v>12</v>
      </c>
      <c r="B588" s="73">
        <v>7</v>
      </c>
      <c r="C588" s="73"/>
      <c r="D588" s="180" t="s">
        <v>442</v>
      </c>
      <c r="E588" s="39">
        <v>43596</v>
      </c>
      <c r="F588" s="179">
        <v>0.5395833333333333</v>
      </c>
      <c r="G588" s="180">
        <v>1</v>
      </c>
      <c r="H588" s="180"/>
      <c r="I588" s="180"/>
      <c r="J588" s="180"/>
      <c r="K588" s="180"/>
      <c r="L588" s="180"/>
      <c r="M588" s="180"/>
      <c r="N588" s="180"/>
      <c r="O588" s="180"/>
      <c r="P588" s="180"/>
      <c r="AS588" s="180"/>
      <c r="AT588" s="180"/>
      <c r="AU588" s="180"/>
      <c r="AV588" s="180"/>
      <c r="AW588" s="180"/>
      <c r="AX588" s="180"/>
      <c r="AY588" s="180"/>
      <c r="AZ588" s="180"/>
      <c r="BA588" s="180"/>
      <c r="BB588" s="180"/>
      <c r="BC588" s="180"/>
      <c r="BD588" s="180"/>
      <c r="BE588" s="180"/>
      <c r="BF588" s="180"/>
      <c r="BG588" s="180"/>
      <c r="BH588" s="180"/>
      <c r="BI588" s="180"/>
      <c r="BJ588" s="180"/>
      <c r="BK588" s="180"/>
      <c r="BL588" s="180"/>
      <c r="BM588" s="180"/>
      <c r="BN588" s="180"/>
      <c r="BO588" s="180"/>
      <c r="BP588" s="180"/>
      <c r="BQ588" s="180"/>
      <c r="BR588" s="180"/>
      <c r="BS588" s="180"/>
      <c r="BT588" s="180"/>
      <c r="BU588" s="180"/>
      <c r="BV588" s="180"/>
      <c r="BW588" s="180"/>
      <c r="BX588" s="180"/>
      <c r="BY588" s="180"/>
      <c r="BZ588" s="180"/>
      <c r="CA588" s="180"/>
      <c r="CB588" s="180"/>
      <c r="CC588" s="180"/>
      <c r="CD588" s="180"/>
      <c r="CE588" s="180"/>
      <c r="CF588" s="180"/>
      <c r="CG588" s="180"/>
      <c r="CH588" s="180"/>
      <c r="CI588" s="180"/>
      <c r="CJ588" s="180"/>
      <c r="CK588" s="180"/>
      <c r="CL588" s="180"/>
      <c r="CM588" s="180"/>
      <c r="CN588" s="180"/>
      <c r="CO588" s="180"/>
      <c r="CP588" s="180"/>
      <c r="CQ588" s="180"/>
      <c r="CR588" s="180"/>
      <c r="CS588" s="180"/>
      <c r="CT588" s="180"/>
      <c r="CU588" s="180"/>
      <c r="CV588" s="180"/>
      <c r="CW588" s="180"/>
      <c r="CX588" s="180"/>
      <c r="CY588" s="180"/>
      <c r="CZ588" s="180"/>
    </row>
    <row r="589" spans="1:104" x14ac:dyDescent="0.45">
      <c r="A589" s="180" t="s">
        <v>12</v>
      </c>
      <c r="B589" s="73">
        <v>25</v>
      </c>
      <c r="C589" s="73">
        <v>25</v>
      </c>
      <c r="D589" s="180" t="s">
        <v>367</v>
      </c>
      <c r="E589" s="39">
        <v>43596</v>
      </c>
      <c r="F589" s="179">
        <v>0.42083333333333334</v>
      </c>
      <c r="G589" s="180">
        <v>1</v>
      </c>
      <c r="H589" s="180"/>
      <c r="I589" s="180"/>
      <c r="J589" s="180"/>
      <c r="K589" s="180"/>
      <c r="L589" s="180"/>
      <c r="M589" s="180"/>
      <c r="N589" s="180"/>
      <c r="O589" s="180"/>
      <c r="P589" s="180"/>
      <c r="AS589" s="180"/>
      <c r="AT589" s="180"/>
      <c r="AU589" s="180"/>
      <c r="AV589" s="180"/>
      <c r="AW589" s="180"/>
      <c r="AX589" s="180"/>
      <c r="AY589" s="180"/>
      <c r="AZ589" s="180"/>
      <c r="BA589" s="180"/>
      <c r="BB589" s="180"/>
      <c r="BC589" s="180"/>
      <c r="BD589" s="180"/>
      <c r="BE589" s="180"/>
      <c r="BF589" s="180"/>
      <c r="BG589" s="180"/>
      <c r="BH589" s="180"/>
      <c r="BI589" s="180"/>
      <c r="BJ589" s="180"/>
      <c r="BK589" s="180"/>
      <c r="BL589" s="180"/>
      <c r="BM589" s="180"/>
      <c r="BN589" s="180"/>
      <c r="BO589" s="180"/>
      <c r="BP589" s="180"/>
      <c r="BQ589" s="180"/>
      <c r="BR589" s="180"/>
      <c r="BS589" s="180"/>
      <c r="BT589" s="180"/>
      <c r="BU589" s="180"/>
      <c r="BV589" s="180"/>
      <c r="BW589" s="180"/>
      <c r="BX589" s="180"/>
      <c r="BY589" s="180"/>
      <c r="BZ589" s="180"/>
      <c r="CA589" s="180"/>
      <c r="CB589" s="180"/>
      <c r="CC589" s="180"/>
      <c r="CD589" s="180"/>
      <c r="CE589" s="180"/>
      <c r="CF589" s="180"/>
      <c r="CG589" s="180"/>
      <c r="CH589" s="180"/>
      <c r="CI589" s="180"/>
      <c r="CJ589" s="180"/>
      <c r="CK589" s="180"/>
      <c r="CL589" s="180"/>
      <c r="CM589" s="180"/>
      <c r="CN589" s="180"/>
      <c r="CO589" s="180"/>
      <c r="CP589" s="180"/>
      <c r="CQ589" s="180"/>
      <c r="CR589" s="180"/>
      <c r="CS589" s="180"/>
      <c r="CT589" s="180"/>
      <c r="CU589" s="180"/>
      <c r="CV589" s="180"/>
      <c r="CW589" s="180"/>
      <c r="CX589" s="180"/>
      <c r="CY589" s="180"/>
      <c r="CZ589" s="180"/>
    </row>
    <row r="590" spans="1:104" x14ac:dyDescent="0.45">
      <c r="A590" s="180" t="s">
        <v>12</v>
      </c>
      <c r="B590" s="73">
        <v>4</v>
      </c>
      <c r="C590" s="73">
        <v>4</v>
      </c>
      <c r="D590" s="180" t="s">
        <v>311</v>
      </c>
      <c r="E590" s="39">
        <v>43596</v>
      </c>
      <c r="F590" s="179">
        <v>0.57500000000000007</v>
      </c>
      <c r="G590" s="180">
        <v>22</v>
      </c>
      <c r="H590" s="180" t="s">
        <v>385</v>
      </c>
      <c r="I590" s="180"/>
      <c r="J590" s="180"/>
      <c r="K590" s="180"/>
      <c r="L590" s="180"/>
      <c r="M590" s="180"/>
      <c r="N590" s="180"/>
      <c r="O590" s="180"/>
      <c r="P590" s="180"/>
      <c r="AS590" s="180"/>
      <c r="AT590" s="180"/>
      <c r="AU590" s="180"/>
      <c r="AV590" s="180"/>
      <c r="AW590" s="180"/>
      <c r="AX590" s="180"/>
      <c r="AY590" s="180"/>
      <c r="AZ590" s="180"/>
      <c r="BA590" s="180"/>
      <c r="BB590" s="180"/>
      <c r="BC590" s="180"/>
      <c r="BD590" s="180"/>
      <c r="BE590" s="180"/>
      <c r="BF590" s="180"/>
      <c r="BG590" s="180"/>
      <c r="BH590" s="180"/>
      <c r="BI590" s="180"/>
      <c r="BJ590" s="180"/>
      <c r="BK590" s="180"/>
      <c r="BL590" s="180"/>
      <c r="BM590" s="180"/>
      <c r="BN590" s="180"/>
      <c r="BO590" s="180"/>
      <c r="BP590" s="180"/>
      <c r="BQ590" s="180"/>
      <c r="BR590" s="180"/>
      <c r="BS590" s="180"/>
      <c r="BT590" s="180"/>
      <c r="BU590" s="180"/>
      <c r="BV590" s="180"/>
      <c r="BW590" s="180"/>
      <c r="BX590" s="180"/>
      <c r="BY590" s="180"/>
      <c r="BZ590" s="180"/>
      <c r="CA590" s="180"/>
      <c r="CB590" s="180"/>
      <c r="CC590" s="180"/>
      <c r="CD590" s="180"/>
      <c r="CE590" s="180"/>
      <c r="CF590" s="180"/>
      <c r="CG590" s="180"/>
      <c r="CH590" s="180"/>
      <c r="CI590" s="180"/>
      <c r="CJ590" s="180"/>
      <c r="CK590" s="180"/>
      <c r="CL590" s="180"/>
      <c r="CM590" s="180"/>
      <c r="CN590" s="180"/>
      <c r="CO590" s="180"/>
      <c r="CP590" s="180"/>
      <c r="CQ590" s="180"/>
      <c r="CR590" s="180"/>
      <c r="CS590" s="180"/>
      <c r="CT590" s="180"/>
      <c r="CU590" s="180"/>
      <c r="CV590" s="180"/>
      <c r="CW590" s="180"/>
      <c r="CX590" s="180"/>
      <c r="CY590" s="180"/>
      <c r="CZ590" s="180"/>
    </row>
    <row r="591" spans="1:104" x14ac:dyDescent="0.45">
      <c r="A591" s="180" t="s">
        <v>12</v>
      </c>
      <c r="B591" s="73">
        <v>18</v>
      </c>
      <c r="C591" s="73">
        <v>18</v>
      </c>
      <c r="D591" s="180" t="s">
        <v>309</v>
      </c>
      <c r="E591" s="39">
        <v>43596</v>
      </c>
      <c r="F591" s="179">
        <v>0.32291666666666669</v>
      </c>
      <c r="G591" s="180">
        <v>5</v>
      </c>
      <c r="H591" s="180"/>
      <c r="I591" s="180"/>
      <c r="J591" s="180"/>
      <c r="K591" s="180"/>
      <c r="L591" s="180"/>
      <c r="M591" s="180"/>
      <c r="N591" s="180"/>
      <c r="O591" s="180"/>
      <c r="P591" s="180"/>
      <c r="AS591" s="180"/>
      <c r="AT591" s="180"/>
      <c r="AU591" s="180"/>
      <c r="AV591" s="180"/>
      <c r="AW591" s="180"/>
      <c r="AX591" s="180"/>
      <c r="AY591" s="180"/>
      <c r="AZ591" s="180"/>
      <c r="BA591" s="180"/>
      <c r="BB591" s="180"/>
      <c r="BC591" s="180"/>
      <c r="BD591" s="180"/>
      <c r="BE591" s="180"/>
      <c r="BF591" s="180"/>
      <c r="BG591" s="180"/>
      <c r="BH591" s="180"/>
      <c r="BI591" s="180"/>
      <c r="BJ591" s="180"/>
      <c r="BK591" s="180"/>
      <c r="BL591" s="180"/>
      <c r="BM591" s="180"/>
      <c r="BN591" s="180"/>
      <c r="BO591" s="180"/>
      <c r="BP591" s="180"/>
      <c r="BQ591" s="180"/>
      <c r="BR591" s="180"/>
      <c r="BS591" s="180"/>
      <c r="BT591" s="180"/>
      <c r="BU591" s="180"/>
      <c r="BV591" s="180"/>
      <c r="BW591" s="180"/>
      <c r="BX591" s="180"/>
      <c r="BY591" s="180"/>
      <c r="BZ591" s="180"/>
      <c r="CA591" s="180"/>
      <c r="CB591" s="180"/>
      <c r="CC591" s="180"/>
      <c r="CD591" s="180"/>
      <c r="CE591" s="180"/>
      <c r="CF591" s="180"/>
      <c r="CG591" s="180"/>
      <c r="CH591" s="180"/>
      <c r="CI591" s="180"/>
      <c r="CJ591" s="180"/>
      <c r="CK591" s="180"/>
      <c r="CL591" s="180"/>
      <c r="CM591" s="180"/>
      <c r="CN591" s="180"/>
      <c r="CO591" s="180"/>
      <c r="CP591" s="180"/>
      <c r="CQ591" s="180"/>
      <c r="CR591" s="180"/>
      <c r="CS591" s="180"/>
      <c r="CT591" s="180"/>
      <c r="CU591" s="180"/>
      <c r="CV591" s="180"/>
      <c r="CW591" s="180"/>
      <c r="CX591" s="180"/>
      <c r="CY591" s="180"/>
      <c r="CZ591" s="180"/>
    </row>
    <row r="592" spans="1:104" x14ac:dyDescent="0.45">
      <c r="A592" s="180" t="s">
        <v>12</v>
      </c>
      <c r="B592" s="73" t="s">
        <v>467</v>
      </c>
      <c r="C592" s="73"/>
      <c r="D592" s="180" t="s">
        <v>309</v>
      </c>
      <c r="E592" s="39">
        <v>43596</v>
      </c>
      <c r="F592" s="179">
        <v>0.79513888888888884</v>
      </c>
      <c r="G592" s="180">
        <v>1</v>
      </c>
      <c r="H592" s="180" t="s">
        <v>387</v>
      </c>
      <c r="I592" s="180"/>
      <c r="J592" s="180"/>
      <c r="K592" s="180"/>
      <c r="L592" s="180"/>
      <c r="M592" s="180"/>
      <c r="N592" s="180"/>
      <c r="O592" s="180"/>
      <c r="P592" s="180"/>
      <c r="AS592" s="180"/>
      <c r="AT592" s="180"/>
      <c r="AU592" s="180"/>
      <c r="AV592" s="180"/>
      <c r="AW592" s="180"/>
      <c r="AX592" s="180"/>
      <c r="AY592" s="180"/>
      <c r="AZ592" s="180"/>
      <c r="BA592" s="180"/>
      <c r="BB592" s="180"/>
      <c r="BC592" s="180"/>
      <c r="BD592" s="180"/>
      <c r="BE592" s="180"/>
      <c r="BF592" s="180"/>
      <c r="BG592" s="180"/>
      <c r="BH592" s="180"/>
      <c r="BI592" s="180"/>
      <c r="BJ592" s="180"/>
      <c r="BK592" s="180"/>
      <c r="BL592" s="180"/>
      <c r="BM592" s="180"/>
      <c r="BN592" s="180"/>
      <c r="BO592" s="180"/>
      <c r="BP592" s="180"/>
      <c r="BQ592" s="180"/>
      <c r="BR592" s="180"/>
      <c r="BS592" s="180"/>
      <c r="BT592" s="180"/>
      <c r="BU592" s="180"/>
      <c r="BV592" s="180"/>
      <c r="BW592" s="180"/>
      <c r="BX592" s="180"/>
      <c r="BY592" s="180"/>
      <c r="BZ592" s="180"/>
      <c r="CA592" s="180"/>
      <c r="CB592" s="180"/>
      <c r="CC592" s="180"/>
      <c r="CD592" s="180"/>
      <c r="CE592" s="180"/>
      <c r="CF592" s="180"/>
      <c r="CG592" s="180"/>
      <c r="CH592" s="180"/>
      <c r="CI592" s="180"/>
      <c r="CJ592" s="180"/>
      <c r="CK592" s="180"/>
      <c r="CL592" s="180"/>
      <c r="CM592" s="180"/>
      <c r="CN592" s="180"/>
      <c r="CO592" s="180"/>
      <c r="CP592" s="180"/>
      <c r="CQ592" s="180"/>
      <c r="CR592" s="180"/>
      <c r="CS592" s="180"/>
      <c r="CT592" s="180"/>
      <c r="CU592" s="180"/>
      <c r="CV592" s="180"/>
      <c r="CW592" s="180"/>
      <c r="CX592" s="180"/>
      <c r="CY592" s="180"/>
      <c r="CZ592" s="180"/>
    </row>
    <row r="593" spans="1:104" x14ac:dyDescent="0.45">
      <c r="A593" s="180" t="s">
        <v>12</v>
      </c>
      <c r="B593" s="73">
        <v>1</v>
      </c>
      <c r="C593" s="73"/>
      <c r="D593" s="180" t="s">
        <v>309</v>
      </c>
      <c r="E593" s="39">
        <v>43596</v>
      </c>
      <c r="F593" s="179">
        <v>0.3347222222222222</v>
      </c>
      <c r="G593" s="180">
        <v>1</v>
      </c>
      <c r="H593" s="180"/>
      <c r="I593" s="180"/>
      <c r="J593" s="180"/>
      <c r="K593" s="180"/>
      <c r="L593" s="180"/>
      <c r="M593" s="180"/>
      <c r="N593" s="180"/>
      <c r="O593" s="180"/>
      <c r="P593" s="180"/>
      <c r="AS593" s="180"/>
      <c r="AT593" s="180"/>
      <c r="AU593" s="180"/>
      <c r="AV593" s="180"/>
      <c r="AW593" s="180"/>
      <c r="AX593" s="180"/>
      <c r="AY593" s="180"/>
      <c r="AZ593" s="180"/>
      <c r="BA593" s="180"/>
      <c r="BB593" s="180"/>
      <c r="BC593" s="180"/>
      <c r="BD593" s="180"/>
      <c r="BE593" s="180"/>
      <c r="BF593" s="180"/>
      <c r="BG593" s="180"/>
      <c r="BH593" s="180"/>
      <c r="BI593" s="180"/>
      <c r="BJ593" s="180"/>
      <c r="BK593" s="180"/>
      <c r="BL593" s="180"/>
      <c r="BM593" s="180"/>
      <c r="BN593" s="180"/>
      <c r="BO593" s="180"/>
      <c r="BP593" s="180"/>
      <c r="BQ593" s="180"/>
      <c r="BR593" s="180"/>
      <c r="BS593" s="180"/>
      <c r="BT593" s="180"/>
      <c r="BU593" s="180"/>
      <c r="BV593" s="180"/>
      <c r="BW593" s="180"/>
      <c r="BX593" s="180"/>
      <c r="BY593" s="180"/>
      <c r="BZ593" s="180"/>
      <c r="CA593" s="180"/>
      <c r="CB593" s="180"/>
      <c r="CC593" s="180"/>
      <c r="CD593" s="180"/>
      <c r="CE593" s="180"/>
      <c r="CF593" s="180"/>
      <c r="CG593" s="180"/>
      <c r="CH593" s="180"/>
      <c r="CI593" s="180"/>
      <c r="CJ593" s="180"/>
      <c r="CK593" s="180"/>
      <c r="CL593" s="180"/>
      <c r="CM593" s="180"/>
      <c r="CN593" s="180"/>
      <c r="CO593" s="180"/>
      <c r="CP593" s="180"/>
      <c r="CQ593" s="180"/>
      <c r="CR593" s="180"/>
      <c r="CS593" s="180"/>
      <c r="CT593" s="180"/>
      <c r="CU593" s="180"/>
      <c r="CV593" s="180"/>
      <c r="CW593" s="180"/>
      <c r="CX593" s="180"/>
      <c r="CY593" s="180"/>
      <c r="CZ593" s="180"/>
    </row>
    <row r="594" spans="1:104" x14ac:dyDescent="0.45">
      <c r="A594" s="180" t="s">
        <v>12</v>
      </c>
      <c r="B594" s="73">
        <v>2</v>
      </c>
      <c r="C594" s="73"/>
      <c r="D594" s="180" t="s">
        <v>296</v>
      </c>
      <c r="E594" s="39">
        <v>43596</v>
      </c>
      <c r="F594" s="179">
        <v>0.52083333333333337</v>
      </c>
      <c r="G594" s="180">
        <v>4</v>
      </c>
      <c r="H594" s="180" t="s">
        <v>444</v>
      </c>
      <c r="I594" s="180"/>
      <c r="J594" s="180"/>
      <c r="K594" s="180"/>
      <c r="L594" s="180"/>
      <c r="M594" s="180"/>
      <c r="N594" s="180"/>
      <c r="O594" s="180"/>
      <c r="P594" s="180"/>
      <c r="AS594" s="180"/>
      <c r="AT594" s="180"/>
      <c r="AU594" s="180"/>
      <c r="AV594" s="180"/>
      <c r="AW594" s="180"/>
      <c r="AX594" s="180"/>
      <c r="AY594" s="180"/>
      <c r="AZ594" s="180"/>
      <c r="BA594" s="180"/>
      <c r="BB594" s="180"/>
      <c r="BC594" s="180"/>
      <c r="BD594" s="180"/>
      <c r="BE594" s="180"/>
      <c r="BF594" s="180"/>
      <c r="BG594" s="180"/>
      <c r="BH594" s="180"/>
      <c r="BI594" s="180"/>
      <c r="BJ594" s="180"/>
      <c r="BK594" s="180"/>
      <c r="BL594" s="180"/>
      <c r="BM594" s="180"/>
      <c r="BN594" s="180"/>
      <c r="BO594" s="180"/>
      <c r="BP594" s="180"/>
      <c r="BQ594" s="180"/>
      <c r="BR594" s="180"/>
      <c r="BS594" s="180"/>
      <c r="BT594" s="180"/>
      <c r="BU594" s="180"/>
      <c r="BV594" s="180"/>
      <c r="BW594" s="180"/>
      <c r="BX594" s="180"/>
      <c r="BY594" s="180"/>
      <c r="BZ594" s="180"/>
      <c r="CA594" s="180"/>
      <c r="CB594" s="180"/>
      <c r="CC594" s="180"/>
      <c r="CD594" s="180"/>
      <c r="CE594" s="180"/>
      <c r="CF594" s="180"/>
      <c r="CG594" s="180"/>
      <c r="CH594" s="180"/>
      <c r="CI594" s="180"/>
      <c r="CJ594" s="180"/>
      <c r="CK594" s="180"/>
      <c r="CL594" s="180"/>
      <c r="CM594" s="180"/>
      <c r="CN594" s="180"/>
      <c r="CO594" s="180"/>
      <c r="CP594" s="180"/>
      <c r="CQ594" s="180"/>
      <c r="CR594" s="180"/>
      <c r="CS594" s="180"/>
      <c r="CT594" s="180"/>
      <c r="CU594" s="180"/>
      <c r="CV594" s="180"/>
      <c r="CW594" s="180"/>
      <c r="CX594" s="180"/>
      <c r="CY594" s="180"/>
      <c r="CZ594" s="180"/>
    </row>
    <row r="595" spans="1:104" x14ac:dyDescent="0.45">
      <c r="A595" s="180" t="s">
        <v>12</v>
      </c>
      <c r="B595" s="73">
        <v>4</v>
      </c>
      <c r="C595" s="73">
        <v>4</v>
      </c>
      <c r="D595" s="180" t="s">
        <v>296</v>
      </c>
      <c r="E595" s="39">
        <v>43596</v>
      </c>
      <c r="F595" s="179">
        <v>0.27083333333333331</v>
      </c>
      <c r="G595" s="180">
        <v>1</v>
      </c>
      <c r="H595" s="180"/>
      <c r="I595" s="180"/>
      <c r="J595" s="180"/>
      <c r="K595" s="180"/>
      <c r="L595" s="180"/>
      <c r="M595" s="180"/>
      <c r="N595" s="180"/>
      <c r="O595" s="180"/>
      <c r="P595" s="180"/>
      <c r="AS595" s="180"/>
      <c r="AT595" s="180"/>
      <c r="AU595" s="180"/>
      <c r="AV595" s="180"/>
      <c r="AW595" s="180"/>
      <c r="AX595" s="180"/>
      <c r="AY595" s="180"/>
      <c r="AZ595" s="180"/>
      <c r="BA595" s="180"/>
      <c r="BB595" s="180"/>
      <c r="BC595" s="180"/>
      <c r="BD595" s="180"/>
      <c r="BE595" s="180"/>
      <c r="BF595" s="180"/>
      <c r="BG595" s="180"/>
      <c r="BH595" s="180"/>
      <c r="BI595" s="180"/>
      <c r="BJ595" s="180"/>
      <c r="BK595" s="180"/>
      <c r="BL595" s="180"/>
      <c r="BM595" s="180"/>
      <c r="BN595" s="180"/>
      <c r="BO595" s="180"/>
      <c r="BP595" s="180"/>
      <c r="BQ595" s="180"/>
      <c r="BR595" s="180"/>
      <c r="BS595" s="180"/>
      <c r="BT595" s="180"/>
      <c r="BU595" s="180"/>
      <c r="BV595" s="180"/>
      <c r="BW595" s="180"/>
      <c r="BX595" s="180"/>
      <c r="BY595" s="180"/>
      <c r="BZ595" s="180"/>
      <c r="CA595" s="180"/>
      <c r="CB595" s="180"/>
      <c r="CC595" s="180"/>
      <c r="CD595" s="180"/>
      <c r="CE595" s="180"/>
      <c r="CF595" s="180"/>
      <c r="CG595" s="180"/>
      <c r="CH595" s="180"/>
      <c r="CI595" s="180"/>
      <c r="CJ595" s="180"/>
      <c r="CK595" s="180"/>
      <c r="CL595" s="180"/>
      <c r="CM595" s="180"/>
      <c r="CN595" s="180"/>
      <c r="CO595" s="180"/>
      <c r="CP595" s="180"/>
      <c r="CQ595" s="180"/>
      <c r="CR595" s="180"/>
      <c r="CS595" s="180"/>
      <c r="CT595" s="180"/>
      <c r="CU595" s="180"/>
      <c r="CV595" s="180"/>
      <c r="CW595" s="180"/>
      <c r="CX595" s="180"/>
      <c r="CY595" s="180"/>
      <c r="CZ595" s="180"/>
    </row>
    <row r="596" spans="1:104" x14ac:dyDescent="0.45">
      <c r="A596" s="180" t="s">
        <v>12</v>
      </c>
      <c r="B596" s="73">
        <v>2</v>
      </c>
      <c r="C596" s="73"/>
      <c r="D596" s="180" t="s">
        <v>271</v>
      </c>
      <c r="E596" s="39">
        <v>43596</v>
      </c>
      <c r="F596" s="179">
        <v>0.80486111111111114</v>
      </c>
      <c r="G596" s="180">
        <v>1</v>
      </c>
      <c r="H596" s="180"/>
      <c r="I596" s="180"/>
      <c r="J596" s="180"/>
      <c r="K596" s="180"/>
      <c r="L596" s="180"/>
      <c r="M596" s="180"/>
      <c r="N596" s="180"/>
      <c r="O596" s="180"/>
      <c r="P596" s="180"/>
      <c r="AS596" s="180"/>
      <c r="AT596" s="180"/>
      <c r="AU596" s="180"/>
      <c r="AV596" s="180"/>
      <c r="AW596" s="180"/>
      <c r="AX596" s="180"/>
      <c r="AY596" s="180"/>
      <c r="AZ596" s="180"/>
      <c r="BA596" s="180"/>
      <c r="BB596" s="180"/>
      <c r="BC596" s="180"/>
      <c r="BD596" s="180"/>
      <c r="BE596" s="180"/>
      <c r="BF596" s="180"/>
      <c r="BG596" s="180"/>
      <c r="BH596" s="180"/>
      <c r="BI596" s="180"/>
      <c r="BJ596" s="180"/>
      <c r="BK596" s="180"/>
      <c r="BL596" s="180"/>
      <c r="BM596" s="180"/>
      <c r="BN596" s="180"/>
      <c r="BO596" s="180"/>
      <c r="BP596" s="180"/>
      <c r="BQ596" s="180"/>
      <c r="BR596" s="180"/>
      <c r="BS596" s="180"/>
      <c r="BT596" s="180"/>
      <c r="BU596" s="180"/>
      <c r="BV596" s="180"/>
      <c r="BW596" s="180"/>
      <c r="BX596" s="180"/>
      <c r="BY596" s="180"/>
      <c r="BZ596" s="180"/>
      <c r="CA596" s="180"/>
      <c r="CB596" s="180"/>
      <c r="CC596" s="180"/>
      <c r="CD596" s="180"/>
      <c r="CE596" s="180"/>
      <c r="CF596" s="180"/>
      <c r="CG596" s="180"/>
      <c r="CH596" s="180"/>
      <c r="CI596" s="180"/>
      <c r="CJ596" s="180"/>
      <c r="CK596" s="180"/>
      <c r="CL596" s="180"/>
      <c r="CM596" s="180"/>
      <c r="CN596" s="180"/>
      <c r="CO596" s="180"/>
      <c r="CP596" s="180"/>
      <c r="CQ596" s="180"/>
      <c r="CR596" s="180"/>
      <c r="CS596" s="180"/>
      <c r="CT596" s="180"/>
      <c r="CU596" s="180"/>
      <c r="CV596" s="180"/>
      <c r="CW596" s="180"/>
      <c r="CX596" s="180"/>
      <c r="CY596" s="180"/>
      <c r="CZ596" s="180"/>
    </row>
    <row r="597" spans="1:104" x14ac:dyDescent="0.45">
      <c r="A597" s="180" t="s">
        <v>12</v>
      </c>
      <c r="B597" s="73">
        <v>45</v>
      </c>
      <c r="C597" s="73">
        <v>45</v>
      </c>
      <c r="D597" s="180" t="s">
        <v>271</v>
      </c>
      <c r="E597" s="39">
        <v>43596</v>
      </c>
      <c r="F597" s="179">
        <v>0.57222222222222219</v>
      </c>
      <c r="G597" s="180">
        <v>2</v>
      </c>
      <c r="H597" s="180"/>
      <c r="I597" s="180"/>
      <c r="J597" s="180"/>
      <c r="K597" s="180"/>
      <c r="L597" s="180"/>
      <c r="M597" s="180"/>
      <c r="N597" s="180"/>
      <c r="O597" s="180"/>
      <c r="P597" s="180"/>
      <c r="AS597" s="180"/>
      <c r="AT597" s="180"/>
      <c r="AU597" s="180"/>
      <c r="AV597" s="180"/>
      <c r="AW597" s="180"/>
      <c r="AX597" s="180"/>
      <c r="AY597" s="180"/>
      <c r="AZ597" s="180"/>
      <c r="BA597" s="180"/>
      <c r="BB597" s="180"/>
      <c r="BC597" s="180"/>
      <c r="BD597" s="180"/>
      <c r="BE597" s="180"/>
      <c r="BF597" s="180"/>
      <c r="BG597" s="180"/>
      <c r="BH597" s="180"/>
      <c r="BI597" s="180"/>
      <c r="BJ597" s="180"/>
      <c r="BK597" s="180"/>
      <c r="BL597" s="180"/>
      <c r="BM597" s="180"/>
      <c r="BN597" s="180"/>
      <c r="BO597" s="180"/>
      <c r="BP597" s="180"/>
      <c r="BQ597" s="180"/>
      <c r="BR597" s="180"/>
      <c r="BS597" s="180"/>
      <c r="BT597" s="180"/>
      <c r="BU597" s="180"/>
      <c r="BV597" s="180"/>
      <c r="BW597" s="180"/>
      <c r="BX597" s="180"/>
      <c r="BY597" s="180"/>
      <c r="BZ597" s="180"/>
      <c r="CA597" s="180"/>
      <c r="CB597" s="180"/>
      <c r="CC597" s="180"/>
      <c r="CD597" s="180"/>
      <c r="CE597" s="180"/>
      <c r="CF597" s="180"/>
      <c r="CG597" s="180"/>
      <c r="CH597" s="180"/>
      <c r="CI597" s="180"/>
      <c r="CJ597" s="180"/>
      <c r="CK597" s="180"/>
      <c r="CL597" s="180"/>
      <c r="CM597" s="180"/>
      <c r="CN597" s="180"/>
      <c r="CO597" s="180"/>
      <c r="CP597" s="180"/>
      <c r="CQ597" s="180"/>
      <c r="CR597" s="180"/>
      <c r="CS597" s="180"/>
      <c r="CT597" s="180"/>
      <c r="CU597" s="180"/>
      <c r="CV597" s="180"/>
      <c r="CW597" s="180"/>
      <c r="CX597" s="180"/>
      <c r="CY597" s="180"/>
      <c r="CZ597" s="180"/>
    </row>
    <row r="598" spans="1:104" x14ac:dyDescent="0.45">
      <c r="A598" s="180" t="s">
        <v>12</v>
      </c>
      <c r="B598" s="73">
        <v>1</v>
      </c>
      <c r="C598" s="73"/>
      <c r="D598" s="180" t="s">
        <v>271</v>
      </c>
      <c r="E598" s="39">
        <v>43596</v>
      </c>
      <c r="F598" s="179">
        <v>0.5756944444444444</v>
      </c>
      <c r="G598" s="180">
        <v>2</v>
      </c>
      <c r="H598" s="180"/>
      <c r="I598" s="180"/>
      <c r="J598" s="180"/>
      <c r="K598" s="180"/>
      <c r="L598" s="180"/>
      <c r="M598" s="180"/>
      <c r="N598" s="180"/>
      <c r="O598" s="180"/>
      <c r="P598" s="180"/>
      <c r="AS598" s="180"/>
      <c r="AT598" s="180"/>
      <c r="AU598" s="180"/>
      <c r="AV598" s="180"/>
      <c r="AW598" s="180"/>
      <c r="AX598" s="180"/>
      <c r="AY598" s="180"/>
      <c r="AZ598" s="180"/>
      <c r="BA598" s="180"/>
      <c r="BB598" s="180"/>
      <c r="BC598" s="180"/>
      <c r="BD598" s="180"/>
      <c r="BE598" s="180"/>
      <c r="BF598" s="180"/>
      <c r="BG598" s="180"/>
      <c r="BH598" s="180"/>
      <c r="BI598" s="180"/>
      <c r="BJ598" s="180"/>
      <c r="BK598" s="180"/>
      <c r="BL598" s="180"/>
      <c r="BM598" s="180"/>
      <c r="BN598" s="180"/>
      <c r="BO598" s="180"/>
      <c r="BP598" s="180"/>
      <c r="BQ598" s="180"/>
      <c r="BR598" s="180"/>
      <c r="BS598" s="180"/>
      <c r="BT598" s="180"/>
      <c r="BU598" s="180"/>
      <c r="BV598" s="180"/>
      <c r="BW598" s="180"/>
      <c r="BX598" s="180"/>
      <c r="BY598" s="180"/>
      <c r="BZ598" s="180"/>
      <c r="CA598" s="180"/>
      <c r="CB598" s="180"/>
      <c r="CC598" s="180"/>
      <c r="CD598" s="180"/>
      <c r="CE598" s="180"/>
      <c r="CF598" s="180"/>
      <c r="CG598" s="180"/>
      <c r="CH598" s="180"/>
      <c r="CI598" s="180"/>
      <c r="CJ598" s="180"/>
      <c r="CK598" s="180"/>
      <c r="CL598" s="180"/>
      <c r="CM598" s="180"/>
      <c r="CN598" s="180"/>
      <c r="CO598" s="180"/>
      <c r="CP598" s="180"/>
      <c r="CQ598" s="180"/>
      <c r="CR598" s="180"/>
      <c r="CS598" s="180"/>
      <c r="CT598" s="180"/>
      <c r="CU598" s="180"/>
      <c r="CV598" s="180"/>
      <c r="CW598" s="180"/>
      <c r="CX598" s="180"/>
      <c r="CY598" s="180"/>
      <c r="CZ598" s="180"/>
    </row>
    <row r="599" spans="1:104" x14ac:dyDescent="0.45">
      <c r="A599" s="180" t="s">
        <v>12</v>
      </c>
      <c r="B599" s="73">
        <v>1</v>
      </c>
      <c r="C599" s="73"/>
      <c r="D599" s="180" t="s">
        <v>271</v>
      </c>
      <c r="E599" s="39">
        <v>43596</v>
      </c>
      <c r="F599" s="179">
        <v>0.52083333333333337</v>
      </c>
      <c r="G599" s="180">
        <v>3</v>
      </c>
      <c r="H599" s="180"/>
      <c r="I599" s="180"/>
      <c r="J599" s="180"/>
      <c r="K599" s="180"/>
      <c r="L599" s="180"/>
      <c r="M599" s="180"/>
      <c r="N599" s="180"/>
      <c r="O599" s="180"/>
      <c r="P599" s="180"/>
      <c r="AS599" s="180"/>
      <c r="AT599" s="180"/>
      <c r="AU599" s="180"/>
      <c r="AV599" s="180"/>
      <c r="AW599" s="180"/>
      <c r="AX599" s="180"/>
      <c r="AY599" s="180"/>
      <c r="AZ599" s="180"/>
      <c r="BA599" s="180"/>
      <c r="BB599" s="180"/>
      <c r="BC599" s="180"/>
      <c r="BD599" s="180"/>
      <c r="BE599" s="180"/>
      <c r="BF599" s="180"/>
      <c r="BG599" s="180"/>
      <c r="BH599" s="180"/>
      <c r="BI599" s="180"/>
      <c r="BJ599" s="180"/>
      <c r="BK599" s="180"/>
      <c r="BL599" s="180"/>
      <c r="BM599" s="180"/>
      <c r="BN599" s="180"/>
      <c r="BO599" s="180"/>
      <c r="BP599" s="180"/>
      <c r="BQ599" s="180"/>
      <c r="BR599" s="180"/>
      <c r="BS599" s="180"/>
      <c r="BT599" s="180"/>
      <c r="BU599" s="180"/>
      <c r="BV599" s="180"/>
      <c r="BW599" s="180"/>
      <c r="BX599" s="180"/>
      <c r="BY599" s="180"/>
      <c r="BZ599" s="180"/>
      <c r="CA599" s="180"/>
      <c r="CB599" s="180"/>
      <c r="CC599" s="180"/>
      <c r="CD599" s="180"/>
      <c r="CE599" s="180"/>
      <c r="CF599" s="180"/>
      <c r="CG599" s="180"/>
      <c r="CH599" s="180"/>
      <c r="CI599" s="180"/>
      <c r="CJ599" s="180"/>
      <c r="CK599" s="180"/>
      <c r="CL599" s="180"/>
      <c r="CM599" s="180"/>
      <c r="CN599" s="180"/>
      <c r="CO599" s="180"/>
      <c r="CP599" s="180"/>
      <c r="CQ599" s="180"/>
      <c r="CR599" s="180"/>
      <c r="CS599" s="180"/>
      <c r="CT599" s="180"/>
      <c r="CU599" s="180"/>
      <c r="CV599" s="180"/>
      <c r="CW599" s="180"/>
      <c r="CX599" s="180"/>
      <c r="CY599" s="180"/>
      <c r="CZ599" s="180"/>
    </row>
    <row r="600" spans="1:104" x14ac:dyDescent="0.45">
      <c r="A600" s="180" t="s">
        <v>12</v>
      </c>
      <c r="B600" s="73">
        <v>1</v>
      </c>
      <c r="C600" s="73"/>
      <c r="D600" s="180" t="s">
        <v>271</v>
      </c>
      <c r="E600" s="39">
        <v>43596</v>
      </c>
      <c r="F600" s="179">
        <v>0.625</v>
      </c>
      <c r="G600" s="180">
        <v>1</v>
      </c>
      <c r="H600" s="180"/>
      <c r="I600" s="180"/>
      <c r="J600" s="180"/>
      <c r="K600" s="180"/>
      <c r="L600" s="180"/>
      <c r="M600" s="180"/>
      <c r="N600" s="180"/>
      <c r="O600" s="180"/>
      <c r="P600" s="180"/>
      <c r="AS600" s="180"/>
      <c r="AT600" s="180"/>
      <c r="AU600" s="180"/>
      <c r="AV600" s="180"/>
      <c r="AW600" s="180"/>
      <c r="AX600" s="180"/>
      <c r="AY600" s="180"/>
      <c r="AZ600" s="180"/>
      <c r="BA600" s="180"/>
      <c r="BB600" s="180"/>
      <c r="BC600" s="180"/>
      <c r="BD600" s="180"/>
      <c r="BE600" s="180"/>
      <c r="BF600" s="180"/>
      <c r="BG600" s="180"/>
      <c r="BH600" s="180"/>
      <c r="BI600" s="180"/>
      <c r="BJ600" s="180"/>
      <c r="BK600" s="180"/>
      <c r="BL600" s="180"/>
      <c r="BM600" s="180"/>
      <c r="BN600" s="180"/>
      <c r="BO600" s="180"/>
      <c r="BP600" s="180"/>
      <c r="BQ600" s="180"/>
      <c r="BR600" s="180"/>
      <c r="BS600" s="180"/>
      <c r="BT600" s="180"/>
      <c r="BU600" s="180"/>
      <c r="BV600" s="180"/>
      <c r="BW600" s="180"/>
      <c r="BX600" s="180"/>
      <c r="BY600" s="180"/>
      <c r="BZ600" s="180"/>
      <c r="CA600" s="180"/>
      <c r="CB600" s="180"/>
      <c r="CC600" s="180"/>
      <c r="CD600" s="180"/>
      <c r="CE600" s="180"/>
      <c r="CF600" s="180"/>
      <c r="CG600" s="180"/>
      <c r="CH600" s="180"/>
      <c r="CI600" s="180"/>
      <c r="CJ600" s="180"/>
      <c r="CK600" s="180"/>
      <c r="CL600" s="180"/>
      <c r="CM600" s="180"/>
      <c r="CN600" s="180"/>
      <c r="CO600" s="180"/>
      <c r="CP600" s="180"/>
      <c r="CQ600" s="180"/>
      <c r="CR600" s="180"/>
      <c r="CS600" s="180"/>
      <c r="CT600" s="180"/>
      <c r="CU600" s="180"/>
      <c r="CV600" s="180"/>
      <c r="CW600" s="180"/>
      <c r="CX600" s="180"/>
      <c r="CY600" s="180"/>
      <c r="CZ600" s="180"/>
    </row>
    <row r="601" spans="1:104" x14ac:dyDescent="0.45">
      <c r="A601" s="180" t="s">
        <v>12</v>
      </c>
      <c r="B601" s="73">
        <v>5</v>
      </c>
      <c r="C601" s="73"/>
      <c r="D601" s="180" t="s">
        <v>271</v>
      </c>
      <c r="E601" s="39">
        <v>43596</v>
      </c>
      <c r="F601" s="179">
        <v>0.4861111111111111</v>
      </c>
      <c r="G601" s="180">
        <v>1</v>
      </c>
      <c r="H601" s="180" t="s">
        <v>390</v>
      </c>
      <c r="I601" s="180"/>
      <c r="J601" s="180"/>
      <c r="K601" s="180"/>
      <c r="L601" s="180"/>
      <c r="M601" s="180"/>
      <c r="N601" s="180"/>
      <c r="O601" s="180"/>
      <c r="P601" s="180"/>
      <c r="AS601" s="180"/>
      <c r="AT601" s="180"/>
      <c r="AU601" s="180"/>
      <c r="AV601" s="180"/>
      <c r="AW601" s="180"/>
      <c r="AX601" s="180"/>
      <c r="AY601" s="180"/>
      <c r="AZ601" s="180"/>
      <c r="BA601" s="180"/>
      <c r="BB601" s="180"/>
      <c r="BC601" s="180"/>
      <c r="BD601" s="180"/>
      <c r="BE601" s="180"/>
      <c r="BF601" s="180"/>
      <c r="BG601" s="180"/>
      <c r="BH601" s="180"/>
      <c r="BI601" s="180"/>
      <c r="BJ601" s="180"/>
      <c r="BK601" s="180"/>
      <c r="BL601" s="180"/>
      <c r="BM601" s="180"/>
      <c r="BN601" s="180"/>
      <c r="BO601" s="180"/>
      <c r="BP601" s="180"/>
      <c r="BQ601" s="180"/>
      <c r="BR601" s="180"/>
      <c r="BS601" s="180"/>
      <c r="BT601" s="180"/>
      <c r="BU601" s="180"/>
      <c r="BV601" s="180"/>
      <c r="BW601" s="180"/>
      <c r="BX601" s="180"/>
      <c r="BY601" s="180"/>
      <c r="BZ601" s="180"/>
      <c r="CA601" s="180"/>
      <c r="CB601" s="180"/>
      <c r="CC601" s="180"/>
      <c r="CD601" s="180"/>
      <c r="CE601" s="180"/>
      <c r="CF601" s="180"/>
      <c r="CG601" s="180"/>
      <c r="CH601" s="180"/>
      <c r="CI601" s="180"/>
      <c r="CJ601" s="180"/>
      <c r="CK601" s="180"/>
      <c r="CL601" s="180"/>
      <c r="CM601" s="180"/>
      <c r="CN601" s="180"/>
      <c r="CO601" s="180"/>
      <c r="CP601" s="180"/>
      <c r="CQ601" s="180"/>
      <c r="CR601" s="180"/>
      <c r="CS601" s="180"/>
      <c r="CT601" s="180"/>
      <c r="CU601" s="180"/>
      <c r="CV601" s="180"/>
      <c r="CW601" s="180"/>
      <c r="CX601" s="180"/>
      <c r="CY601" s="180"/>
      <c r="CZ601" s="180"/>
    </row>
    <row r="602" spans="1:104" x14ac:dyDescent="0.45">
      <c r="A602" s="180" t="s">
        <v>12</v>
      </c>
      <c r="B602" s="73">
        <v>10</v>
      </c>
      <c r="C602" s="73"/>
      <c r="D602" s="180" t="s">
        <v>271</v>
      </c>
      <c r="E602" s="39">
        <v>43596</v>
      </c>
      <c r="F602" s="179">
        <v>0.5625</v>
      </c>
      <c r="G602" s="180">
        <v>3</v>
      </c>
      <c r="H602" s="180"/>
      <c r="I602" s="180" t="s">
        <v>468</v>
      </c>
      <c r="J602" s="180"/>
      <c r="K602" s="180"/>
      <c r="L602" s="180"/>
      <c r="M602" s="180"/>
      <c r="N602" s="180"/>
      <c r="O602" s="180"/>
      <c r="P602" s="180"/>
      <c r="AS602" s="180"/>
      <c r="AT602" s="180"/>
      <c r="AU602" s="180"/>
      <c r="AV602" s="180"/>
      <c r="AW602" s="180"/>
      <c r="AX602" s="180"/>
      <c r="AY602" s="180"/>
      <c r="AZ602" s="180"/>
      <c r="BA602" s="180"/>
      <c r="BB602" s="180"/>
      <c r="BC602" s="180"/>
      <c r="BD602" s="180"/>
      <c r="BE602" s="180"/>
      <c r="BF602" s="180"/>
      <c r="BG602" s="180"/>
      <c r="BH602" s="180"/>
      <c r="BI602" s="180"/>
      <c r="BJ602" s="180"/>
      <c r="BK602" s="180"/>
      <c r="BL602" s="180"/>
      <c r="BM602" s="180"/>
      <c r="BN602" s="180"/>
      <c r="BO602" s="180"/>
      <c r="BP602" s="180"/>
      <c r="BQ602" s="180"/>
      <c r="BR602" s="180"/>
      <c r="BS602" s="180"/>
      <c r="BT602" s="180"/>
      <c r="BU602" s="180"/>
      <c r="BV602" s="180"/>
      <c r="BW602" s="180"/>
      <c r="BX602" s="180"/>
      <c r="BY602" s="180"/>
      <c r="BZ602" s="180"/>
      <c r="CA602" s="180"/>
      <c r="CB602" s="180"/>
      <c r="CC602" s="180"/>
      <c r="CD602" s="180"/>
      <c r="CE602" s="180"/>
      <c r="CF602" s="180"/>
      <c r="CG602" s="180"/>
      <c r="CH602" s="180"/>
      <c r="CI602" s="180"/>
      <c r="CJ602" s="180"/>
      <c r="CK602" s="180"/>
      <c r="CL602" s="180"/>
      <c r="CM602" s="180"/>
      <c r="CN602" s="180"/>
      <c r="CO602" s="180"/>
      <c r="CP602" s="180"/>
      <c r="CQ602" s="180"/>
      <c r="CR602" s="180"/>
      <c r="CS602" s="180"/>
      <c r="CT602" s="180"/>
      <c r="CU602" s="180"/>
      <c r="CV602" s="180"/>
      <c r="CW602" s="180"/>
      <c r="CX602" s="180"/>
      <c r="CY602" s="180"/>
      <c r="CZ602" s="180"/>
    </row>
    <row r="603" spans="1:104" x14ac:dyDescent="0.45">
      <c r="A603" s="180" t="s">
        <v>12</v>
      </c>
      <c r="B603" s="73">
        <v>3</v>
      </c>
      <c r="C603" s="73"/>
      <c r="D603" s="180" t="s">
        <v>271</v>
      </c>
      <c r="E603" s="39">
        <v>43596</v>
      </c>
      <c r="F603" s="179">
        <v>0.6743055555555556</v>
      </c>
      <c r="G603" s="180">
        <v>2</v>
      </c>
      <c r="H603" s="180"/>
      <c r="I603" s="180"/>
      <c r="J603" s="180"/>
      <c r="K603" s="180"/>
      <c r="L603" s="180"/>
      <c r="M603" s="180"/>
      <c r="N603" s="180"/>
      <c r="O603" s="180"/>
      <c r="P603" s="180"/>
      <c r="AS603" s="180"/>
      <c r="AT603" s="180"/>
      <c r="AU603" s="180"/>
      <c r="AV603" s="180"/>
      <c r="AW603" s="180"/>
      <c r="AX603" s="180"/>
      <c r="AY603" s="180"/>
      <c r="AZ603" s="180"/>
      <c r="BA603" s="180"/>
      <c r="BB603" s="180"/>
      <c r="BC603" s="180"/>
      <c r="BD603" s="180"/>
      <c r="BE603" s="180"/>
      <c r="BF603" s="180"/>
      <c r="BG603" s="180"/>
      <c r="BH603" s="180"/>
      <c r="BI603" s="180"/>
      <c r="BJ603" s="180"/>
      <c r="BK603" s="180"/>
      <c r="BL603" s="180"/>
      <c r="BM603" s="180"/>
      <c r="BN603" s="180"/>
      <c r="BO603" s="180"/>
      <c r="BP603" s="180"/>
      <c r="BQ603" s="180"/>
      <c r="BR603" s="180"/>
      <c r="BS603" s="180"/>
      <c r="BT603" s="180"/>
      <c r="BU603" s="180"/>
      <c r="BV603" s="180"/>
      <c r="BW603" s="180"/>
      <c r="BX603" s="180"/>
      <c r="BY603" s="180"/>
      <c r="BZ603" s="180"/>
      <c r="CA603" s="180"/>
      <c r="CB603" s="180"/>
      <c r="CC603" s="180"/>
      <c r="CD603" s="180"/>
      <c r="CE603" s="180"/>
      <c r="CF603" s="180"/>
      <c r="CG603" s="180"/>
      <c r="CH603" s="180"/>
      <c r="CI603" s="180"/>
      <c r="CJ603" s="180"/>
      <c r="CK603" s="180"/>
      <c r="CL603" s="180"/>
      <c r="CM603" s="180"/>
      <c r="CN603" s="180"/>
      <c r="CO603" s="180"/>
      <c r="CP603" s="180"/>
      <c r="CQ603" s="180"/>
      <c r="CR603" s="180"/>
      <c r="CS603" s="180"/>
      <c r="CT603" s="180"/>
      <c r="CU603" s="180"/>
      <c r="CV603" s="180"/>
      <c r="CW603" s="180"/>
      <c r="CX603" s="180"/>
      <c r="CY603" s="180"/>
      <c r="CZ603" s="180"/>
    </row>
    <row r="604" spans="1:104" x14ac:dyDescent="0.45">
      <c r="A604" s="180" t="s">
        <v>12</v>
      </c>
      <c r="B604" s="73">
        <v>4</v>
      </c>
      <c r="C604" s="73"/>
      <c r="D604" s="180" t="s">
        <v>271</v>
      </c>
      <c r="E604" s="39">
        <v>43596</v>
      </c>
      <c r="F604" s="179">
        <v>0.47916666666666669</v>
      </c>
      <c r="G604" s="180">
        <v>4</v>
      </c>
      <c r="H604" s="180" t="s">
        <v>393</v>
      </c>
      <c r="I604" s="180"/>
      <c r="J604" s="180"/>
      <c r="K604" s="180"/>
      <c r="L604" s="180"/>
      <c r="M604" s="180"/>
      <c r="N604" s="180"/>
      <c r="O604" s="180"/>
      <c r="P604" s="180"/>
      <c r="AS604" s="180"/>
      <c r="AT604" s="180"/>
      <c r="AU604" s="180"/>
      <c r="AV604" s="180"/>
      <c r="AW604" s="180"/>
      <c r="AX604" s="180"/>
      <c r="AY604" s="180"/>
      <c r="AZ604" s="180"/>
      <c r="BA604" s="180"/>
      <c r="BB604" s="180"/>
      <c r="BC604" s="180"/>
      <c r="BD604" s="180"/>
      <c r="BE604" s="180"/>
      <c r="BF604" s="180"/>
      <c r="BG604" s="180"/>
      <c r="BH604" s="180"/>
      <c r="BI604" s="180"/>
      <c r="BJ604" s="180"/>
      <c r="BK604" s="180"/>
      <c r="BL604" s="180"/>
      <c r="BM604" s="180"/>
      <c r="BN604" s="180"/>
      <c r="BO604" s="180"/>
      <c r="BP604" s="180"/>
      <c r="BQ604" s="180"/>
      <c r="BR604" s="180"/>
      <c r="BS604" s="180"/>
      <c r="BT604" s="180"/>
      <c r="BU604" s="180"/>
      <c r="BV604" s="180"/>
      <c r="BW604" s="180"/>
      <c r="BX604" s="180"/>
      <c r="BY604" s="180"/>
      <c r="BZ604" s="180"/>
      <c r="CA604" s="180"/>
      <c r="CB604" s="180"/>
      <c r="CC604" s="180"/>
      <c r="CD604" s="180"/>
      <c r="CE604" s="180"/>
      <c r="CF604" s="180"/>
      <c r="CG604" s="180"/>
      <c r="CH604" s="180"/>
      <c r="CI604" s="180"/>
      <c r="CJ604" s="180"/>
      <c r="CK604" s="180"/>
      <c r="CL604" s="180"/>
      <c r="CM604" s="180"/>
      <c r="CN604" s="180"/>
      <c r="CO604" s="180"/>
      <c r="CP604" s="180"/>
      <c r="CQ604" s="180"/>
      <c r="CR604" s="180"/>
      <c r="CS604" s="180"/>
      <c r="CT604" s="180"/>
      <c r="CU604" s="180"/>
      <c r="CV604" s="180"/>
      <c r="CW604" s="180"/>
      <c r="CX604" s="180"/>
      <c r="CY604" s="180"/>
      <c r="CZ604" s="180"/>
    </row>
    <row r="605" spans="1:104" x14ac:dyDescent="0.45">
      <c r="A605" s="180" t="s">
        <v>12</v>
      </c>
      <c r="B605" s="73">
        <v>12</v>
      </c>
      <c r="C605" s="73"/>
      <c r="D605" s="180" t="s">
        <v>271</v>
      </c>
      <c r="E605" s="39">
        <v>43596</v>
      </c>
      <c r="F605" s="179">
        <v>0.72499999999999998</v>
      </c>
      <c r="G605" s="180">
        <v>1</v>
      </c>
      <c r="H605" s="180"/>
      <c r="I605" s="180"/>
      <c r="J605" s="180"/>
      <c r="K605" s="180"/>
      <c r="L605" s="180"/>
      <c r="M605" s="180"/>
      <c r="N605" s="180"/>
      <c r="O605" s="180"/>
      <c r="P605" s="180"/>
      <c r="AS605" s="180"/>
      <c r="AT605" s="180"/>
      <c r="AU605" s="180"/>
      <c r="AV605" s="180"/>
      <c r="AW605" s="180"/>
      <c r="AX605" s="180"/>
      <c r="AY605" s="180"/>
      <c r="AZ605" s="180"/>
      <c r="BA605" s="180"/>
      <c r="BB605" s="180"/>
      <c r="BC605" s="180"/>
      <c r="BD605" s="180"/>
      <c r="BE605" s="180"/>
      <c r="BF605" s="180"/>
      <c r="BG605" s="180"/>
      <c r="BH605" s="180"/>
      <c r="BI605" s="180"/>
      <c r="BJ605" s="180"/>
      <c r="BK605" s="180"/>
      <c r="BL605" s="180"/>
      <c r="BM605" s="180"/>
      <c r="BN605" s="180"/>
      <c r="BO605" s="180"/>
      <c r="BP605" s="180"/>
      <c r="BQ605" s="180"/>
      <c r="BR605" s="180"/>
      <c r="BS605" s="180"/>
      <c r="BT605" s="180"/>
      <c r="BU605" s="180"/>
      <c r="BV605" s="180"/>
      <c r="BW605" s="180"/>
      <c r="BX605" s="180"/>
      <c r="BY605" s="180"/>
      <c r="BZ605" s="180"/>
      <c r="CA605" s="180"/>
      <c r="CB605" s="180"/>
      <c r="CC605" s="180"/>
      <c r="CD605" s="180"/>
      <c r="CE605" s="180"/>
      <c r="CF605" s="180"/>
      <c r="CG605" s="180"/>
      <c r="CH605" s="180"/>
      <c r="CI605" s="180"/>
      <c r="CJ605" s="180"/>
      <c r="CK605" s="180"/>
      <c r="CL605" s="180"/>
      <c r="CM605" s="180"/>
      <c r="CN605" s="180"/>
      <c r="CO605" s="180"/>
      <c r="CP605" s="180"/>
      <c r="CQ605" s="180"/>
      <c r="CR605" s="180"/>
      <c r="CS605" s="180"/>
      <c r="CT605" s="180"/>
      <c r="CU605" s="180"/>
      <c r="CV605" s="180"/>
      <c r="CW605" s="180"/>
      <c r="CX605" s="180"/>
      <c r="CY605" s="180"/>
      <c r="CZ605" s="180"/>
    </row>
    <row r="606" spans="1:104" x14ac:dyDescent="0.45">
      <c r="A606" s="180" t="s">
        <v>12</v>
      </c>
      <c r="B606" s="73">
        <v>1</v>
      </c>
      <c r="C606" s="73"/>
      <c r="D606" s="180" t="s">
        <v>271</v>
      </c>
      <c r="E606" s="39">
        <v>43596</v>
      </c>
      <c r="F606" s="179">
        <v>0.5756944444444444</v>
      </c>
      <c r="G606" s="180">
        <v>2</v>
      </c>
      <c r="H606" s="180"/>
      <c r="I606" s="180" t="s">
        <v>469</v>
      </c>
      <c r="J606" s="180"/>
      <c r="K606" s="180"/>
      <c r="L606" s="180"/>
      <c r="M606" s="180"/>
      <c r="N606" s="180"/>
      <c r="O606" s="180"/>
      <c r="P606" s="180"/>
      <c r="AS606" s="180"/>
      <c r="AT606" s="180"/>
      <c r="AU606" s="180"/>
      <c r="AV606" s="180"/>
      <c r="AW606" s="180"/>
      <c r="AX606" s="180"/>
      <c r="AY606" s="180"/>
      <c r="AZ606" s="180"/>
      <c r="BA606" s="180"/>
      <c r="BB606" s="180"/>
      <c r="BC606" s="180"/>
      <c r="BD606" s="180"/>
      <c r="BE606" s="180"/>
      <c r="BF606" s="180"/>
      <c r="BG606" s="180"/>
      <c r="BH606" s="180"/>
      <c r="BI606" s="180"/>
      <c r="BJ606" s="180"/>
      <c r="BK606" s="180"/>
      <c r="BL606" s="180"/>
      <c r="BM606" s="180"/>
      <c r="BN606" s="180"/>
      <c r="BO606" s="180"/>
      <c r="BP606" s="180"/>
      <c r="BQ606" s="180"/>
      <c r="BR606" s="180"/>
      <c r="BS606" s="180"/>
      <c r="BT606" s="180"/>
      <c r="BU606" s="180"/>
      <c r="BV606" s="180"/>
      <c r="BW606" s="180"/>
      <c r="BX606" s="180"/>
      <c r="BY606" s="180"/>
      <c r="BZ606" s="180"/>
      <c r="CA606" s="180"/>
      <c r="CB606" s="180"/>
      <c r="CC606" s="180"/>
      <c r="CD606" s="180"/>
      <c r="CE606" s="180"/>
      <c r="CF606" s="180"/>
      <c r="CG606" s="180"/>
      <c r="CH606" s="180"/>
      <c r="CI606" s="180"/>
      <c r="CJ606" s="180"/>
      <c r="CK606" s="180"/>
      <c r="CL606" s="180"/>
      <c r="CM606" s="180"/>
      <c r="CN606" s="180"/>
      <c r="CO606" s="180"/>
      <c r="CP606" s="180"/>
      <c r="CQ606" s="180"/>
      <c r="CR606" s="180"/>
      <c r="CS606" s="180"/>
      <c r="CT606" s="180"/>
      <c r="CU606" s="180"/>
      <c r="CV606" s="180"/>
      <c r="CW606" s="180"/>
      <c r="CX606" s="180"/>
      <c r="CY606" s="180"/>
      <c r="CZ606" s="180"/>
    </row>
    <row r="607" spans="1:104" x14ac:dyDescent="0.45">
      <c r="A607" s="180" t="s">
        <v>12</v>
      </c>
      <c r="B607" s="73">
        <v>1</v>
      </c>
      <c r="C607" s="73"/>
      <c r="D607" s="180" t="s">
        <v>394</v>
      </c>
      <c r="E607" s="39">
        <v>43597</v>
      </c>
      <c r="F607" s="179">
        <v>0.41736111111111113</v>
      </c>
      <c r="G607" s="180">
        <v>1</v>
      </c>
      <c r="H607" s="180"/>
      <c r="I607" s="180"/>
      <c r="J607" s="180"/>
      <c r="K607" s="180"/>
      <c r="L607" s="180"/>
      <c r="M607" s="180"/>
      <c r="N607" s="180"/>
      <c r="O607" s="180"/>
      <c r="P607" s="180"/>
      <c r="AS607" s="180"/>
      <c r="AT607" s="180"/>
      <c r="AU607" s="180"/>
      <c r="AV607" s="180"/>
      <c r="AW607" s="180"/>
      <c r="AX607" s="180"/>
      <c r="AY607" s="180"/>
      <c r="AZ607" s="180"/>
      <c r="BA607" s="180"/>
      <c r="BB607" s="180"/>
      <c r="BC607" s="180"/>
      <c r="BD607" s="180"/>
      <c r="BE607" s="180"/>
      <c r="BF607" s="180"/>
      <c r="BG607" s="180"/>
      <c r="BH607" s="180"/>
      <c r="BI607" s="180"/>
      <c r="BJ607" s="180"/>
      <c r="BK607" s="180"/>
      <c r="BL607" s="180"/>
      <c r="BM607" s="180"/>
      <c r="BN607" s="180"/>
      <c r="BO607" s="180"/>
      <c r="BP607" s="180"/>
      <c r="BQ607" s="180"/>
      <c r="BR607" s="180"/>
      <c r="BS607" s="180"/>
      <c r="BT607" s="180"/>
      <c r="BU607" s="180"/>
      <c r="BV607" s="180"/>
      <c r="BW607" s="180"/>
      <c r="BX607" s="180"/>
      <c r="BY607" s="180"/>
      <c r="BZ607" s="180"/>
      <c r="CA607" s="180"/>
      <c r="CB607" s="180"/>
      <c r="CC607" s="180"/>
      <c r="CD607" s="180"/>
      <c r="CE607" s="180"/>
      <c r="CF607" s="180"/>
      <c r="CG607" s="180"/>
      <c r="CH607" s="180"/>
      <c r="CI607" s="180"/>
      <c r="CJ607" s="180"/>
      <c r="CK607" s="180"/>
      <c r="CL607" s="180"/>
      <c r="CM607" s="180"/>
      <c r="CN607" s="180"/>
      <c r="CO607" s="180"/>
      <c r="CP607" s="180"/>
      <c r="CQ607" s="180"/>
      <c r="CR607" s="180"/>
      <c r="CS607" s="180"/>
      <c r="CT607" s="180"/>
      <c r="CU607" s="180"/>
      <c r="CV607" s="180"/>
      <c r="CW607" s="180"/>
      <c r="CX607" s="180"/>
      <c r="CY607" s="180"/>
      <c r="CZ607" s="180"/>
    </row>
    <row r="608" spans="1:104" x14ac:dyDescent="0.45">
      <c r="A608" s="180" t="s">
        <v>12</v>
      </c>
      <c r="B608" s="73">
        <v>1</v>
      </c>
      <c r="C608" s="73"/>
      <c r="D608" s="180" t="s">
        <v>394</v>
      </c>
      <c r="E608" s="39">
        <v>43597</v>
      </c>
      <c r="F608" s="179">
        <v>0.41736111111111113</v>
      </c>
      <c r="G608" s="180">
        <v>1</v>
      </c>
      <c r="H608" s="180"/>
      <c r="I608" s="180"/>
      <c r="J608" s="180"/>
      <c r="K608" s="180"/>
      <c r="L608" s="180"/>
      <c r="M608" s="180"/>
      <c r="N608" s="180"/>
      <c r="O608" s="180"/>
      <c r="P608" s="180"/>
      <c r="AS608" s="180"/>
      <c r="AT608" s="180"/>
      <c r="AU608" s="180"/>
      <c r="AV608" s="180"/>
      <c r="AW608" s="180"/>
      <c r="AX608" s="180"/>
      <c r="AY608" s="180"/>
      <c r="AZ608" s="180"/>
      <c r="BA608" s="180"/>
      <c r="BB608" s="180"/>
      <c r="BC608" s="180"/>
      <c r="BD608" s="180"/>
      <c r="BE608" s="180"/>
      <c r="BF608" s="180"/>
      <c r="BG608" s="180"/>
      <c r="BH608" s="180"/>
      <c r="BI608" s="180"/>
      <c r="BJ608" s="180"/>
      <c r="BK608" s="180"/>
      <c r="BL608" s="180"/>
      <c r="BM608" s="180"/>
      <c r="BN608" s="180"/>
      <c r="BO608" s="180"/>
      <c r="BP608" s="180"/>
      <c r="BQ608" s="180"/>
      <c r="BR608" s="180"/>
      <c r="BS608" s="180"/>
      <c r="BT608" s="180"/>
      <c r="BU608" s="180"/>
      <c r="BV608" s="180"/>
      <c r="BW608" s="180"/>
      <c r="BX608" s="180"/>
      <c r="BY608" s="180"/>
      <c r="BZ608" s="180"/>
      <c r="CA608" s="180"/>
      <c r="CB608" s="180"/>
      <c r="CC608" s="180"/>
      <c r="CD608" s="180"/>
      <c r="CE608" s="180"/>
      <c r="CF608" s="180"/>
      <c r="CG608" s="180"/>
      <c r="CH608" s="180"/>
      <c r="CI608" s="180"/>
      <c r="CJ608" s="180"/>
      <c r="CK608" s="180"/>
      <c r="CL608" s="180"/>
      <c r="CM608" s="180"/>
      <c r="CN608" s="180"/>
      <c r="CO608" s="180"/>
      <c r="CP608" s="180"/>
      <c r="CQ608" s="180"/>
      <c r="CR608" s="180"/>
      <c r="CS608" s="180"/>
      <c r="CT608" s="180"/>
      <c r="CU608" s="180"/>
      <c r="CV608" s="180"/>
      <c r="CW608" s="180"/>
      <c r="CX608" s="180"/>
      <c r="CY608" s="180"/>
      <c r="CZ608" s="180"/>
    </row>
    <row r="609" spans="1:104" x14ac:dyDescent="0.45">
      <c r="A609" s="180" t="s">
        <v>12</v>
      </c>
      <c r="B609" s="73">
        <v>25</v>
      </c>
      <c r="C609" s="73">
        <v>25</v>
      </c>
      <c r="D609" s="180" t="s">
        <v>366</v>
      </c>
      <c r="E609" s="39">
        <v>43597</v>
      </c>
      <c r="F609" s="179">
        <v>0.4055555555555555</v>
      </c>
      <c r="G609" s="180">
        <v>1</v>
      </c>
      <c r="H609" s="180"/>
      <c r="I609" s="180" t="s">
        <v>470</v>
      </c>
      <c r="J609" s="180"/>
      <c r="K609" s="180"/>
      <c r="L609" s="180"/>
      <c r="M609" s="180"/>
      <c r="N609" s="180"/>
      <c r="O609" s="180"/>
      <c r="P609" s="180"/>
      <c r="AS609" s="180"/>
      <c r="AT609" s="180"/>
      <c r="AU609" s="180"/>
      <c r="AV609" s="180"/>
      <c r="AW609" s="180"/>
      <c r="AX609" s="180"/>
      <c r="AY609" s="180"/>
      <c r="AZ609" s="180"/>
      <c r="BA609" s="180"/>
      <c r="BB609" s="180"/>
      <c r="BC609" s="180"/>
      <c r="BD609" s="180"/>
      <c r="BE609" s="180"/>
      <c r="BF609" s="180"/>
      <c r="BG609" s="180"/>
      <c r="BH609" s="180"/>
      <c r="BI609" s="180"/>
      <c r="BJ609" s="180"/>
      <c r="BK609" s="180"/>
      <c r="BL609" s="180"/>
      <c r="BM609" s="180"/>
      <c r="BN609" s="180"/>
      <c r="BO609" s="180"/>
      <c r="BP609" s="180"/>
      <c r="BQ609" s="180"/>
      <c r="BR609" s="180"/>
      <c r="BS609" s="180"/>
      <c r="BT609" s="180"/>
      <c r="BU609" s="180"/>
      <c r="BV609" s="180"/>
      <c r="BW609" s="180"/>
      <c r="BX609" s="180"/>
      <c r="BY609" s="180"/>
      <c r="BZ609" s="180"/>
      <c r="CA609" s="180"/>
      <c r="CB609" s="180"/>
      <c r="CC609" s="180"/>
      <c r="CD609" s="180"/>
      <c r="CE609" s="180"/>
      <c r="CF609" s="180"/>
      <c r="CG609" s="180"/>
      <c r="CH609" s="180"/>
      <c r="CI609" s="180"/>
      <c r="CJ609" s="180"/>
      <c r="CK609" s="180"/>
      <c r="CL609" s="180"/>
      <c r="CM609" s="180"/>
      <c r="CN609" s="180"/>
      <c r="CO609" s="180"/>
      <c r="CP609" s="180"/>
      <c r="CQ609" s="180"/>
      <c r="CR609" s="180"/>
      <c r="CS609" s="180"/>
      <c r="CT609" s="180"/>
      <c r="CU609" s="180"/>
      <c r="CV609" s="180"/>
      <c r="CW609" s="180"/>
      <c r="CX609" s="180"/>
      <c r="CY609" s="180"/>
      <c r="CZ609" s="180"/>
    </row>
    <row r="610" spans="1:104" x14ac:dyDescent="0.45">
      <c r="A610" s="180" t="s">
        <v>12</v>
      </c>
      <c r="B610" s="73">
        <v>1</v>
      </c>
      <c r="C610" s="73">
        <v>1</v>
      </c>
      <c r="D610" s="180" t="s">
        <v>296</v>
      </c>
      <c r="E610" s="39">
        <v>43597</v>
      </c>
      <c r="F610" s="179">
        <v>0.3125</v>
      </c>
      <c r="G610" s="180">
        <v>1</v>
      </c>
      <c r="H610" s="180"/>
      <c r="I610" s="180"/>
      <c r="J610" s="180"/>
      <c r="K610" s="180"/>
      <c r="L610" s="180"/>
      <c r="M610" s="180"/>
      <c r="N610" s="180"/>
      <c r="O610" s="180"/>
      <c r="P610" s="180"/>
      <c r="AS610" s="180"/>
      <c r="AT610" s="180"/>
      <c r="AU610" s="180"/>
      <c r="AV610" s="180"/>
      <c r="AW610" s="180"/>
      <c r="AX610" s="180"/>
      <c r="AY610" s="180"/>
      <c r="AZ610" s="180"/>
      <c r="BA610" s="180"/>
      <c r="BB610" s="180"/>
      <c r="BC610" s="180"/>
      <c r="BD610" s="180"/>
      <c r="BE610" s="180"/>
      <c r="BF610" s="180"/>
      <c r="BG610" s="180"/>
      <c r="BH610" s="180"/>
      <c r="BI610" s="180"/>
      <c r="BJ610" s="180"/>
      <c r="BK610" s="180"/>
      <c r="BL610" s="180"/>
      <c r="BM610" s="180"/>
      <c r="BN610" s="180"/>
      <c r="BO610" s="180"/>
      <c r="BP610" s="180"/>
      <c r="BQ610" s="180"/>
      <c r="BR610" s="180"/>
      <c r="BS610" s="180"/>
      <c r="BT610" s="180"/>
      <c r="BU610" s="180"/>
      <c r="BV610" s="180"/>
      <c r="BW610" s="180"/>
      <c r="BX610" s="180"/>
      <c r="BY610" s="180"/>
      <c r="BZ610" s="180"/>
      <c r="CA610" s="180"/>
      <c r="CB610" s="180"/>
      <c r="CC610" s="180"/>
      <c r="CD610" s="180"/>
      <c r="CE610" s="180"/>
      <c r="CF610" s="180"/>
      <c r="CG610" s="180"/>
      <c r="CH610" s="180"/>
      <c r="CI610" s="180"/>
      <c r="CJ610" s="180"/>
      <c r="CK610" s="180"/>
      <c r="CL610" s="180"/>
      <c r="CM610" s="180"/>
      <c r="CN610" s="180"/>
      <c r="CO610" s="180"/>
      <c r="CP610" s="180"/>
      <c r="CQ610" s="180"/>
      <c r="CR610" s="180"/>
      <c r="CS610" s="180"/>
      <c r="CT610" s="180"/>
      <c r="CU610" s="180"/>
      <c r="CV610" s="180"/>
      <c r="CW610" s="180"/>
      <c r="CX610" s="180"/>
      <c r="CY610" s="180"/>
      <c r="CZ610" s="180"/>
    </row>
    <row r="611" spans="1:104" x14ac:dyDescent="0.45">
      <c r="A611" s="180" t="s">
        <v>12</v>
      </c>
      <c r="B611" s="73">
        <v>1</v>
      </c>
      <c r="C611" s="73"/>
      <c r="D611" s="180" t="s">
        <v>296</v>
      </c>
      <c r="E611" s="39">
        <v>43597</v>
      </c>
      <c r="F611" s="179">
        <v>0.26597222222222222</v>
      </c>
      <c r="G611" s="180">
        <v>20</v>
      </c>
      <c r="H611" s="180"/>
      <c r="I611" s="180"/>
      <c r="J611" s="180"/>
      <c r="K611" s="180"/>
      <c r="L611" s="180"/>
      <c r="M611" s="180"/>
      <c r="N611" s="180"/>
      <c r="O611" s="180"/>
      <c r="P611" s="180"/>
      <c r="AS611" s="180"/>
      <c r="AT611" s="180"/>
      <c r="AU611" s="180"/>
      <c r="AV611" s="180"/>
      <c r="AW611" s="180"/>
      <c r="AX611" s="180"/>
      <c r="AY611" s="180"/>
      <c r="AZ611" s="180"/>
      <c r="BA611" s="180"/>
      <c r="BB611" s="180"/>
      <c r="BC611" s="180"/>
      <c r="BD611" s="180"/>
      <c r="BE611" s="180"/>
      <c r="BF611" s="180"/>
      <c r="BG611" s="180"/>
      <c r="BH611" s="180"/>
      <c r="BI611" s="180"/>
      <c r="BJ611" s="180"/>
      <c r="BK611" s="180"/>
      <c r="BL611" s="180"/>
      <c r="BM611" s="180"/>
      <c r="BN611" s="180"/>
      <c r="BO611" s="180"/>
      <c r="BP611" s="180"/>
      <c r="BQ611" s="180"/>
      <c r="BR611" s="180"/>
      <c r="BS611" s="180"/>
      <c r="BT611" s="180"/>
      <c r="BU611" s="180"/>
      <c r="BV611" s="180"/>
      <c r="BW611" s="180"/>
      <c r="BX611" s="180"/>
      <c r="BY611" s="180"/>
      <c r="BZ611" s="180"/>
      <c r="CA611" s="180"/>
      <c r="CB611" s="180"/>
      <c r="CC611" s="180"/>
      <c r="CD611" s="180"/>
      <c r="CE611" s="180"/>
      <c r="CF611" s="180"/>
      <c r="CG611" s="180"/>
      <c r="CH611" s="180"/>
      <c r="CI611" s="180"/>
      <c r="CJ611" s="180"/>
      <c r="CK611" s="180"/>
      <c r="CL611" s="180"/>
      <c r="CM611" s="180"/>
      <c r="CN611" s="180"/>
      <c r="CO611" s="180"/>
      <c r="CP611" s="180"/>
      <c r="CQ611" s="180"/>
      <c r="CR611" s="180"/>
      <c r="CS611" s="180"/>
      <c r="CT611" s="180"/>
      <c r="CU611" s="180"/>
      <c r="CV611" s="180"/>
      <c r="CW611" s="180"/>
      <c r="CX611" s="180"/>
      <c r="CY611" s="180"/>
      <c r="CZ611" s="180"/>
    </row>
    <row r="612" spans="1:104" x14ac:dyDescent="0.45">
      <c r="A612" s="180" t="s">
        <v>12</v>
      </c>
      <c r="B612" s="73">
        <v>1</v>
      </c>
      <c r="C612" s="73"/>
      <c r="D612" s="180" t="s">
        <v>296</v>
      </c>
      <c r="E612" s="39">
        <v>43597</v>
      </c>
      <c r="F612" s="179">
        <v>0.27361111111111108</v>
      </c>
      <c r="G612" s="180">
        <v>6</v>
      </c>
      <c r="H612" s="180" t="s">
        <v>297</v>
      </c>
      <c r="I612" s="180"/>
      <c r="J612" s="180"/>
      <c r="K612" s="180"/>
      <c r="L612" s="180"/>
      <c r="M612" s="180"/>
      <c r="N612" s="180"/>
      <c r="O612" s="180"/>
      <c r="P612" s="180"/>
      <c r="AS612" s="180"/>
      <c r="AT612" s="180"/>
      <c r="AU612" s="180"/>
      <c r="AV612" s="180"/>
      <c r="AW612" s="180"/>
      <c r="AX612" s="180"/>
      <c r="AY612" s="180"/>
      <c r="AZ612" s="180"/>
      <c r="BA612" s="180"/>
      <c r="BB612" s="180"/>
      <c r="BC612" s="180"/>
      <c r="BD612" s="180"/>
      <c r="BE612" s="180"/>
      <c r="BF612" s="180"/>
      <c r="BG612" s="180"/>
      <c r="BH612" s="180"/>
      <c r="BI612" s="180"/>
      <c r="BJ612" s="180"/>
      <c r="BK612" s="180"/>
      <c r="BL612" s="180"/>
      <c r="BM612" s="180"/>
      <c r="BN612" s="180"/>
      <c r="BO612" s="180"/>
      <c r="BP612" s="180"/>
      <c r="BQ612" s="180"/>
      <c r="BR612" s="180"/>
      <c r="BS612" s="180"/>
      <c r="BT612" s="180"/>
      <c r="BU612" s="180"/>
      <c r="BV612" s="180"/>
      <c r="BW612" s="180"/>
      <c r="BX612" s="180"/>
      <c r="BY612" s="180"/>
      <c r="BZ612" s="180"/>
      <c r="CA612" s="180"/>
      <c r="CB612" s="180"/>
      <c r="CC612" s="180"/>
      <c r="CD612" s="180"/>
      <c r="CE612" s="180"/>
      <c r="CF612" s="180"/>
      <c r="CG612" s="180"/>
      <c r="CH612" s="180"/>
      <c r="CI612" s="180"/>
      <c r="CJ612" s="180"/>
      <c r="CK612" s="180"/>
      <c r="CL612" s="180"/>
      <c r="CM612" s="180"/>
      <c r="CN612" s="180"/>
      <c r="CO612" s="180"/>
      <c r="CP612" s="180"/>
      <c r="CQ612" s="180"/>
      <c r="CR612" s="180"/>
      <c r="CS612" s="180"/>
      <c r="CT612" s="180"/>
      <c r="CU612" s="180"/>
      <c r="CV612" s="180"/>
      <c r="CW612" s="180"/>
      <c r="CX612" s="180"/>
      <c r="CY612" s="180"/>
      <c r="CZ612" s="180"/>
    </row>
    <row r="613" spans="1:104" x14ac:dyDescent="0.45">
      <c r="A613" s="180" t="s">
        <v>12</v>
      </c>
      <c r="B613" s="73">
        <v>11</v>
      </c>
      <c r="C613" s="73"/>
      <c r="D613" s="180" t="s">
        <v>317</v>
      </c>
      <c r="E613" s="39">
        <v>43598</v>
      </c>
      <c r="F613" s="179">
        <v>0.42569444444444443</v>
      </c>
      <c r="G613" s="180">
        <v>4</v>
      </c>
      <c r="H613" s="180" t="s">
        <v>336</v>
      </c>
      <c r="I613" s="180" t="s">
        <v>471</v>
      </c>
      <c r="J613" s="180"/>
      <c r="K613" s="180"/>
      <c r="L613" s="180"/>
      <c r="M613" s="180"/>
      <c r="N613" s="180"/>
      <c r="O613" s="180"/>
      <c r="P613" s="180"/>
      <c r="AS613" s="180"/>
      <c r="AT613" s="180"/>
      <c r="AU613" s="180"/>
      <c r="AV613" s="180"/>
      <c r="AW613" s="180"/>
      <c r="AX613" s="180"/>
      <c r="AY613" s="180"/>
      <c r="AZ613" s="180"/>
      <c r="BA613" s="180"/>
      <c r="BB613" s="180"/>
      <c r="BC613" s="180"/>
      <c r="BD613" s="180"/>
      <c r="BE613" s="180"/>
      <c r="BF613" s="180"/>
      <c r="BG613" s="180"/>
      <c r="BH613" s="180"/>
      <c r="BI613" s="180"/>
      <c r="BJ613" s="180"/>
      <c r="BK613" s="180"/>
      <c r="BL613" s="180"/>
      <c r="BM613" s="180"/>
      <c r="BN613" s="180"/>
      <c r="BO613" s="180"/>
      <c r="BP613" s="180"/>
      <c r="BQ613" s="180"/>
      <c r="BR613" s="180"/>
      <c r="BS613" s="180"/>
      <c r="BT613" s="180"/>
      <c r="BU613" s="180"/>
      <c r="BV613" s="180"/>
      <c r="BW613" s="180"/>
      <c r="BX613" s="180"/>
      <c r="BY613" s="180"/>
      <c r="BZ613" s="180"/>
      <c r="CA613" s="180"/>
      <c r="CB613" s="180"/>
      <c r="CC613" s="180"/>
      <c r="CD613" s="180"/>
      <c r="CE613" s="180"/>
      <c r="CF613" s="180"/>
      <c r="CG613" s="180"/>
      <c r="CH613" s="180"/>
      <c r="CI613" s="180"/>
      <c r="CJ613" s="180"/>
      <c r="CK613" s="180"/>
      <c r="CL613" s="180"/>
      <c r="CM613" s="180"/>
      <c r="CN613" s="180"/>
      <c r="CO613" s="180"/>
      <c r="CP613" s="180"/>
      <c r="CQ613" s="180"/>
      <c r="CR613" s="180"/>
      <c r="CS613" s="180"/>
      <c r="CT613" s="180"/>
      <c r="CU613" s="180"/>
      <c r="CV613" s="180"/>
      <c r="CW613" s="180"/>
      <c r="CX613" s="180"/>
      <c r="CY613" s="180"/>
      <c r="CZ613" s="180"/>
    </row>
    <row r="614" spans="1:104" x14ac:dyDescent="0.45">
      <c r="A614" s="180" t="s">
        <v>12</v>
      </c>
      <c r="B614" s="73">
        <v>1</v>
      </c>
      <c r="C614" s="73">
        <v>1</v>
      </c>
      <c r="D614" s="180" t="s">
        <v>332</v>
      </c>
      <c r="E614" s="39">
        <v>43598</v>
      </c>
      <c r="F614" s="179">
        <v>0.42708333333333331</v>
      </c>
      <c r="G614" s="180">
        <v>1</v>
      </c>
      <c r="H614" s="180" t="s">
        <v>368</v>
      </c>
      <c r="I614" s="180"/>
      <c r="J614" s="180"/>
      <c r="K614" s="180"/>
      <c r="L614" s="180"/>
      <c r="M614" s="180"/>
      <c r="N614" s="180"/>
      <c r="O614" s="180"/>
      <c r="P614" s="180"/>
      <c r="AS614" s="180"/>
      <c r="AT614" s="180"/>
      <c r="AU614" s="180"/>
      <c r="AV614" s="180"/>
      <c r="AW614" s="180"/>
      <c r="AX614" s="180"/>
      <c r="AY614" s="180"/>
      <c r="AZ614" s="180"/>
      <c r="BA614" s="180"/>
      <c r="BB614" s="180"/>
      <c r="BC614" s="180"/>
      <c r="BD614" s="180"/>
      <c r="BE614" s="180"/>
      <c r="BF614" s="180"/>
      <c r="BG614" s="180"/>
      <c r="BH614" s="180"/>
      <c r="BI614" s="180"/>
      <c r="BJ614" s="180"/>
      <c r="BK614" s="180"/>
      <c r="BL614" s="180"/>
      <c r="BM614" s="180"/>
      <c r="BN614" s="180"/>
      <c r="BO614" s="180"/>
      <c r="BP614" s="180"/>
      <c r="BQ614" s="180"/>
      <c r="BR614" s="180"/>
      <c r="BS614" s="180"/>
      <c r="BT614" s="180"/>
      <c r="BU614" s="180"/>
      <c r="BV614" s="180"/>
      <c r="BW614" s="180"/>
      <c r="BX614" s="180"/>
      <c r="BY614" s="180"/>
      <c r="BZ614" s="180"/>
      <c r="CA614" s="180"/>
      <c r="CB614" s="180"/>
      <c r="CC614" s="180"/>
      <c r="CD614" s="180"/>
      <c r="CE614" s="180"/>
      <c r="CF614" s="180"/>
      <c r="CG614" s="180"/>
      <c r="CH614" s="180"/>
      <c r="CI614" s="180"/>
      <c r="CJ614" s="180"/>
      <c r="CK614" s="180"/>
      <c r="CL614" s="180"/>
      <c r="CM614" s="180"/>
      <c r="CN614" s="180"/>
      <c r="CO614" s="180"/>
      <c r="CP614" s="180"/>
      <c r="CQ614" s="180"/>
      <c r="CR614" s="180"/>
      <c r="CS614" s="180"/>
      <c r="CT614" s="180"/>
      <c r="CU614" s="180"/>
      <c r="CV614" s="180"/>
      <c r="CW614" s="180"/>
      <c r="CX614" s="180"/>
      <c r="CY614" s="180"/>
      <c r="CZ614" s="180"/>
    </row>
    <row r="615" spans="1:104" x14ac:dyDescent="0.45">
      <c r="A615" s="180" t="s">
        <v>12</v>
      </c>
      <c r="B615" s="73">
        <v>1</v>
      </c>
      <c r="C615" s="73"/>
      <c r="D615" s="180" t="s">
        <v>332</v>
      </c>
      <c r="E615" s="39">
        <v>43598</v>
      </c>
      <c r="F615" s="179">
        <v>0.42708333333333331</v>
      </c>
      <c r="G615" s="180">
        <v>1</v>
      </c>
      <c r="H615" s="180" t="s">
        <v>368</v>
      </c>
      <c r="I615" s="180"/>
      <c r="J615" s="180"/>
      <c r="K615" s="180"/>
      <c r="L615" s="180"/>
      <c r="M615" s="180"/>
      <c r="N615" s="180"/>
      <c r="O615" s="180"/>
      <c r="P615" s="180"/>
      <c r="AS615" s="180"/>
      <c r="AT615" s="180"/>
      <c r="AU615" s="180"/>
      <c r="AV615" s="180"/>
      <c r="AW615" s="180"/>
      <c r="AX615" s="180"/>
      <c r="AY615" s="180"/>
      <c r="AZ615" s="180"/>
      <c r="BA615" s="180"/>
      <c r="BB615" s="180"/>
      <c r="BC615" s="180"/>
      <c r="BD615" s="180"/>
      <c r="BE615" s="180"/>
      <c r="BF615" s="180"/>
      <c r="BG615" s="180"/>
      <c r="BH615" s="180"/>
      <c r="BI615" s="180"/>
      <c r="BJ615" s="180"/>
      <c r="BK615" s="180"/>
      <c r="BL615" s="180"/>
      <c r="BM615" s="180"/>
      <c r="BN615" s="180"/>
      <c r="BO615" s="180"/>
      <c r="BP615" s="180"/>
      <c r="BQ615" s="180"/>
      <c r="BR615" s="180"/>
      <c r="BS615" s="180"/>
      <c r="BT615" s="180"/>
      <c r="BU615" s="180"/>
      <c r="BV615" s="180"/>
      <c r="BW615" s="180"/>
      <c r="BX615" s="180"/>
      <c r="BY615" s="180"/>
      <c r="BZ615" s="180"/>
      <c r="CA615" s="180"/>
      <c r="CB615" s="180"/>
      <c r="CC615" s="180"/>
      <c r="CD615" s="180"/>
      <c r="CE615" s="180"/>
      <c r="CF615" s="180"/>
      <c r="CG615" s="180"/>
      <c r="CH615" s="180"/>
      <c r="CI615" s="180"/>
      <c r="CJ615" s="180"/>
      <c r="CK615" s="180"/>
      <c r="CL615" s="180"/>
      <c r="CM615" s="180"/>
      <c r="CN615" s="180"/>
      <c r="CO615" s="180"/>
      <c r="CP615" s="180"/>
      <c r="CQ615" s="180"/>
      <c r="CR615" s="180"/>
      <c r="CS615" s="180"/>
      <c r="CT615" s="180"/>
      <c r="CU615" s="180"/>
      <c r="CV615" s="180"/>
      <c r="CW615" s="180"/>
      <c r="CX615" s="180"/>
      <c r="CY615" s="180"/>
      <c r="CZ615" s="180"/>
    </row>
    <row r="616" spans="1:104" x14ac:dyDescent="0.45">
      <c r="A616" s="180" t="s">
        <v>12</v>
      </c>
      <c r="B616" s="73">
        <v>11</v>
      </c>
      <c r="C616" s="73">
        <v>11</v>
      </c>
      <c r="D616" s="180" t="s">
        <v>311</v>
      </c>
      <c r="E616" s="39">
        <v>43598</v>
      </c>
      <c r="F616" s="179">
        <v>0.42708333333333331</v>
      </c>
      <c r="G616" s="180">
        <v>8</v>
      </c>
      <c r="H616" s="180" t="s">
        <v>337</v>
      </c>
      <c r="I616" s="180"/>
      <c r="J616" s="180"/>
      <c r="K616" s="180"/>
      <c r="L616" s="180"/>
      <c r="M616" s="180"/>
      <c r="N616" s="180"/>
      <c r="O616" s="180"/>
      <c r="P616" s="180"/>
      <c r="AS616" s="180"/>
      <c r="AT616" s="180"/>
      <c r="AU616" s="180"/>
      <c r="AV616" s="180"/>
      <c r="AW616" s="180"/>
      <c r="AX616" s="180"/>
      <c r="AY616" s="180"/>
      <c r="AZ616" s="180"/>
      <c r="BA616" s="180"/>
      <c r="BB616" s="180"/>
      <c r="BC616" s="180"/>
      <c r="BD616" s="180"/>
      <c r="BE616" s="180"/>
      <c r="BF616" s="180"/>
      <c r="BG616" s="180"/>
      <c r="BH616" s="180"/>
      <c r="BI616" s="180"/>
      <c r="BJ616" s="180"/>
      <c r="BK616" s="180"/>
      <c r="BL616" s="180"/>
      <c r="BM616" s="180"/>
      <c r="BN616" s="180"/>
      <c r="BO616" s="180"/>
      <c r="BP616" s="180"/>
      <c r="BQ616" s="180"/>
      <c r="BR616" s="180"/>
      <c r="BS616" s="180"/>
      <c r="BT616" s="180"/>
      <c r="BU616" s="180"/>
      <c r="BV616" s="180"/>
      <c r="BW616" s="180"/>
      <c r="BX616" s="180"/>
      <c r="BY616" s="180"/>
      <c r="BZ616" s="180"/>
      <c r="CA616" s="180"/>
      <c r="CB616" s="180"/>
      <c r="CC616" s="180"/>
      <c r="CD616" s="180"/>
      <c r="CE616" s="180"/>
      <c r="CF616" s="180"/>
      <c r="CG616" s="180"/>
      <c r="CH616" s="180"/>
      <c r="CI616" s="180"/>
      <c r="CJ616" s="180"/>
      <c r="CK616" s="180"/>
      <c r="CL616" s="180"/>
      <c r="CM616" s="180"/>
      <c r="CN616" s="180"/>
      <c r="CO616" s="180"/>
      <c r="CP616" s="180"/>
      <c r="CQ616" s="180"/>
      <c r="CR616" s="180"/>
      <c r="CS616" s="180"/>
      <c r="CT616" s="180"/>
      <c r="CU616" s="180"/>
      <c r="CV616" s="180"/>
      <c r="CW616" s="180"/>
      <c r="CX616" s="180"/>
      <c r="CY616" s="180"/>
      <c r="CZ616" s="180"/>
    </row>
    <row r="617" spans="1:104" x14ac:dyDescent="0.45">
      <c r="A617" s="180" t="s">
        <v>12</v>
      </c>
      <c r="B617" s="73">
        <v>2</v>
      </c>
      <c r="C617" s="73">
        <v>2</v>
      </c>
      <c r="D617" s="180" t="s">
        <v>309</v>
      </c>
      <c r="E617" s="39">
        <v>43598</v>
      </c>
      <c r="F617" s="179">
        <v>0.42708333333333331</v>
      </c>
      <c r="G617" s="180">
        <v>2</v>
      </c>
      <c r="H617" s="180" t="s">
        <v>403</v>
      </c>
      <c r="I617" s="180"/>
      <c r="J617" s="180"/>
      <c r="K617" s="180"/>
      <c r="L617" s="180"/>
      <c r="M617" s="180"/>
      <c r="N617" s="180"/>
      <c r="O617" s="180"/>
      <c r="P617" s="180"/>
      <c r="AS617" s="180"/>
      <c r="AT617" s="180"/>
      <c r="AU617" s="180"/>
      <c r="AV617" s="180"/>
      <c r="AW617" s="180"/>
      <c r="AX617" s="180"/>
      <c r="AY617" s="180"/>
      <c r="AZ617" s="180"/>
      <c r="BA617" s="180"/>
      <c r="BB617" s="180"/>
      <c r="BC617" s="180"/>
      <c r="BD617" s="180"/>
      <c r="BE617" s="180"/>
      <c r="BF617" s="180"/>
      <c r="BG617" s="180"/>
      <c r="BH617" s="180"/>
      <c r="BI617" s="180"/>
      <c r="BJ617" s="180"/>
      <c r="BK617" s="180"/>
      <c r="BL617" s="180"/>
      <c r="BM617" s="180"/>
      <c r="BN617" s="180"/>
      <c r="BO617" s="180"/>
      <c r="BP617" s="180"/>
      <c r="BQ617" s="180"/>
      <c r="BR617" s="180"/>
      <c r="BS617" s="180"/>
      <c r="BT617" s="180"/>
      <c r="BU617" s="180"/>
      <c r="BV617" s="180"/>
      <c r="BW617" s="180"/>
      <c r="BX617" s="180"/>
      <c r="BY617" s="180"/>
      <c r="BZ617" s="180"/>
      <c r="CA617" s="180"/>
      <c r="CB617" s="180"/>
      <c r="CC617" s="180"/>
      <c r="CD617" s="180"/>
      <c r="CE617" s="180"/>
      <c r="CF617" s="180"/>
      <c r="CG617" s="180"/>
      <c r="CH617" s="180"/>
      <c r="CI617" s="180"/>
      <c r="CJ617" s="180"/>
      <c r="CK617" s="180"/>
      <c r="CL617" s="180"/>
      <c r="CM617" s="180"/>
      <c r="CN617" s="180"/>
      <c r="CO617" s="180"/>
      <c r="CP617" s="180"/>
      <c r="CQ617" s="180"/>
      <c r="CR617" s="180"/>
      <c r="CS617" s="180"/>
      <c r="CT617" s="180"/>
      <c r="CU617" s="180"/>
      <c r="CV617" s="180"/>
      <c r="CW617" s="180"/>
      <c r="CX617" s="180"/>
      <c r="CY617" s="180"/>
      <c r="CZ617" s="180"/>
    </row>
    <row r="618" spans="1:104" x14ac:dyDescent="0.45">
      <c r="A618" s="180" t="s">
        <v>12</v>
      </c>
      <c r="B618" s="73">
        <v>1</v>
      </c>
      <c r="C618" s="73">
        <v>1</v>
      </c>
      <c r="D618" s="180" t="s">
        <v>318</v>
      </c>
      <c r="E618" s="39">
        <v>43598</v>
      </c>
      <c r="F618" s="179">
        <v>0.42708333333333331</v>
      </c>
      <c r="G618" s="180">
        <v>3</v>
      </c>
      <c r="H618" s="180" t="s">
        <v>472</v>
      </c>
      <c r="I618" s="180"/>
      <c r="J618" s="180"/>
      <c r="K618" s="180"/>
      <c r="L618" s="180"/>
      <c r="M618" s="180"/>
      <c r="N618" s="180"/>
      <c r="O618" s="180"/>
      <c r="P618" s="180"/>
      <c r="AS618" s="180"/>
      <c r="AT618" s="180"/>
      <c r="AU618" s="180"/>
      <c r="AV618" s="180"/>
      <c r="AW618" s="180"/>
      <c r="AX618" s="180"/>
      <c r="AY618" s="180"/>
      <c r="AZ618" s="180"/>
      <c r="BA618" s="180"/>
      <c r="BB618" s="180"/>
      <c r="BC618" s="180"/>
      <c r="BD618" s="180"/>
      <c r="BE618" s="180"/>
      <c r="BF618" s="180"/>
      <c r="BG618" s="180"/>
      <c r="BH618" s="180"/>
      <c r="BI618" s="180"/>
      <c r="BJ618" s="180"/>
      <c r="BK618" s="180"/>
      <c r="BL618" s="180"/>
      <c r="BM618" s="180"/>
      <c r="BN618" s="180"/>
      <c r="BO618" s="180"/>
      <c r="BP618" s="180"/>
      <c r="BQ618" s="180"/>
      <c r="BR618" s="180"/>
      <c r="BS618" s="180"/>
      <c r="BT618" s="180"/>
      <c r="BU618" s="180"/>
      <c r="BV618" s="180"/>
      <c r="BW618" s="180"/>
      <c r="BX618" s="180"/>
      <c r="BY618" s="180"/>
      <c r="BZ618" s="180"/>
      <c r="CA618" s="180"/>
      <c r="CB618" s="180"/>
      <c r="CC618" s="180"/>
      <c r="CD618" s="180"/>
      <c r="CE618" s="180"/>
      <c r="CF618" s="180"/>
      <c r="CG618" s="180"/>
      <c r="CH618" s="180"/>
      <c r="CI618" s="180"/>
      <c r="CJ618" s="180"/>
      <c r="CK618" s="180"/>
      <c r="CL618" s="180"/>
      <c r="CM618" s="180"/>
      <c r="CN618" s="180"/>
      <c r="CO618" s="180"/>
      <c r="CP618" s="180"/>
      <c r="CQ618" s="180"/>
      <c r="CR618" s="180"/>
      <c r="CS618" s="180"/>
      <c r="CT618" s="180"/>
      <c r="CU618" s="180"/>
      <c r="CV618" s="180"/>
      <c r="CW618" s="180"/>
      <c r="CX618" s="180"/>
      <c r="CY618" s="180"/>
      <c r="CZ618" s="180"/>
    </row>
    <row r="619" spans="1:104" x14ac:dyDescent="0.45">
      <c r="A619" s="180" t="s">
        <v>12</v>
      </c>
      <c r="B619" s="73">
        <v>2</v>
      </c>
      <c r="C619" s="73">
        <v>2</v>
      </c>
      <c r="D619" s="180" t="s">
        <v>473</v>
      </c>
      <c r="E619" s="39">
        <v>43598</v>
      </c>
      <c r="F619" s="179">
        <v>0.51041666666666663</v>
      </c>
      <c r="G619" s="180">
        <v>6</v>
      </c>
      <c r="H619" s="180" t="s">
        <v>474</v>
      </c>
      <c r="I619" s="180"/>
      <c r="J619" s="180"/>
      <c r="K619" s="180"/>
      <c r="L619" s="180"/>
      <c r="M619" s="180"/>
      <c r="N619" s="180"/>
      <c r="O619" s="180"/>
      <c r="P619" s="180"/>
      <c r="AS619" s="180"/>
      <c r="AT619" s="180"/>
      <c r="AU619" s="180"/>
      <c r="AV619" s="180"/>
      <c r="AW619" s="180"/>
      <c r="AX619" s="180"/>
      <c r="AY619" s="180"/>
      <c r="AZ619" s="180"/>
      <c r="BA619" s="180"/>
      <c r="BB619" s="180"/>
      <c r="BC619" s="180"/>
      <c r="BD619" s="180"/>
      <c r="BE619" s="180"/>
      <c r="BF619" s="180"/>
      <c r="BG619" s="180"/>
      <c r="BH619" s="180"/>
      <c r="BI619" s="180"/>
      <c r="BJ619" s="180"/>
      <c r="BK619" s="180"/>
      <c r="BL619" s="180"/>
      <c r="BM619" s="180"/>
      <c r="BN619" s="180"/>
      <c r="BO619" s="180"/>
      <c r="BP619" s="180"/>
      <c r="BQ619" s="180"/>
      <c r="BR619" s="180"/>
      <c r="BS619" s="180"/>
      <c r="BT619" s="180"/>
      <c r="BU619" s="180"/>
      <c r="BV619" s="180"/>
      <c r="BW619" s="180"/>
      <c r="BX619" s="180"/>
      <c r="BY619" s="180"/>
      <c r="BZ619" s="180"/>
      <c r="CA619" s="180"/>
      <c r="CB619" s="180"/>
      <c r="CC619" s="180"/>
      <c r="CD619" s="180"/>
      <c r="CE619" s="180"/>
      <c r="CF619" s="180"/>
      <c r="CG619" s="180"/>
      <c r="CH619" s="180"/>
      <c r="CI619" s="180"/>
      <c r="CJ619" s="180"/>
      <c r="CK619" s="180"/>
      <c r="CL619" s="180"/>
      <c r="CM619" s="180"/>
      <c r="CN619" s="180"/>
      <c r="CO619" s="180"/>
      <c r="CP619" s="180"/>
      <c r="CQ619" s="180"/>
      <c r="CR619" s="180"/>
      <c r="CS619" s="180"/>
      <c r="CT619" s="180"/>
      <c r="CU619" s="180"/>
      <c r="CV619" s="180"/>
      <c r="CW619" s="180"/>
      <c r="CX619" s="180"/>
      <c r="CY619" s="180"/>
      <c r="CZ619" s="180"/>
    </row>
    <row r="620" spans="1:104" x14ac:dyDescent="0.45">
      <c r="A620" s="180" t="s">
        <v>12</v>
      </c>
      <c r="B620" s="73">
        <v>20</v>
      </c>
      <c r="C620" s="73">
        <v>20</v>
      </c>
      <c r="D620" s="180" t="s">
        <v>475</v>
      </c>
      <c r="E620" s="39">
        <v>43599</v>
      </c>
      <c r="F620" s="179">
        <v>0.4597222222222222</v>
      </c>
      <c r="G620" s="180">
        <v>1</v>
      </c>
      <c r="H620" s="180"/>
      <c r="I620" s="180"/>
      <c r="J620" s="180"/>
      <c r="K620" s="180"/>
      <c r="L620" s="180"/>
      <c r="M620" s="180"/>
      <c r="N620" s="180"/>
      <c r="O620" s="180"/>
      <c r="P620" s="180"/>
      <c r="AS620" s="180"/>
      <c r="AT620" s="180"/>
      <c r="AU620" s="180"/>
      <c r="AV620" s="180"/>
      <c r="AW620" s="180"/>
      <c r="AX620" s="180"/>
      <c r="AY620" s="180"/>
      <c r="AZ620" s="180"/>
      <c r="BA620" s="180"/>
      <c r="BB620" s="180"/>
      <c r="BC620" s="180"/>
      <c r="BD620" s="180"/>
      <c r="BE620" s="180"/>
      <c r="BF620" s="180"/>
      <c r="BG620" s="180"/>
      <c r="BH620" s="180"/>
      <c r="BI620" s="180"/>
      <c r="BJ620" s="180"/>
      <c r="BK620" s="180"/>
      <c r="BL620" s="180"/>
      <c r="BM620" s="180"/>
      <c r="BN620" s="180"/>
      <c r="BO620" s="180"/>
      <c r="BP620" s="180"/>
      <c r="BQ620" s="180"/>
      <c r="BR620" s="180"/>
      <c r="BS620" s="180"/>
      <c r="BT620" s="180"/>
      <c r="BU620" s="180"/>
      <c r="BV620" s="180"/>
      <c r="BW620" s="180"/>
      <c r="BX620" s="180"/>
      <c r="BY620" s="180"/>
      <c r="BZ620" s="180"/>
      <c r="CA620" s="180"/>
      <c r="CB620" s="180"/>
      <c r="CC620" s="180"/>
      <c r="CD620" s="180"/>
      <c r="CE620" s="180"/>
      <c r="CF620" s="180"/>
      <c r="CG620" s="180"/>
      <c r="CH620" s="180"/>
      <c r="CI620" s="180"/>
      <c r="CJ620" s="180"/>
      <c r="CK620" s="180"/>
      <c r="CL620" s="180"/>
      <c r="CM620" s="180"/>
      <c r="CN620" s="180"/>
      <c r="CO620" s="180"/>
      <c r="CP620" s="180"/>
      <c r="CQ620" s="180"/>
      <c r="CR620" s="180"/>
      <c r="CS620" s="180"/>
      <c r="CT620" s="180"/>
      <c r="CU620" s="180"/>
      <c r="CV620" s="180"/>
      <c r="CW620" s="180"/>
      <c r="CX620" s="180"/>
      <c r="CY620" s="180"/>
      <c r="CZ620" s="180"/>
    </row>
    <row r="621" spans="1:104" x14ac:dyDescent="0.45">
      <c r="A621" s="180" t="s">
        <v>12</v>
      </c>
      <c r="B621" s="73">
        <v>7</v>
      </c>
      <c r="C621" s="73"/>
      <c r="D621" s="180" t="s">
        <v>309</v>
      </c>
      <c r="E621" s="39">
        <v>43599</v>
      </c>
      <c r="F621" s="179">
        <v>0.48958333333333331</v>
      </c>
      <c r="G621" s="180">
        <v>1</v>
      </c>
      <c r="H621" s="180"/>
      <c r="I621" s="180"/>
      <c r="J621" s="180"/>
      <c r="K621" s="180"/>
      <c r="L621" s="180"/>
      <c r="M621" s="180"/>
      <c r="N621" s="180"/>
      <c r="O621" s="180"/>
      <c r="P621" s="180"/>
      <c r="AS621" s="180"/>
      <c r="AT621" s="180"/>
      <c r="AU621" s="180"/>
      <c r="AV621" s="180"/>
      <c r="AW621" s="180"/>
      <c r="AX621" s="180"/>
      <c r="AY621" s="180"/>
      <c r="AZ621" s="180"/>
      <c r="BA621" s="180"/>
      <c r="BB621" s="180"/>
      <c r="BC621" s="180"/>
      <c r="BD621" s="180"/>
      <c r="BE621" s="180"/>
      <c r="BF621" s="180"/>
      <c r="BG621" s="180"/>
      <c r="BH621" s="180"/>
      <c r="BI621" s="180"/>
      <c r="BJ621" s="180"/>
      <c r="BK621" s="180"/>
      <c r="BL621" s="180"/>
      <c r="BM621" s="180"/>
      <c r="BN621" s="180"/>
      <c r="BO621" s="180"/>
      <c r="BP621" s="180"/>
      <c r="BQ621" s="180"/>
      <c r="BR621" s="180"/>
      <c r="BS621" s="180"/>
      <c r="BT621" s="180"/>
      <c r="BU621" s="180"/>
      <c r="BV621" s="180"/>
      <c r="BW621" s="180"/>
      <c r="BX621" s="180"/>
      <c r="BY621" s="180"/>
      <c r="BZ621" s="180"/>
      <c r="CA621" s="180"/>
      <c r="CB621" s="180"/>
      <c r="CC621" s="180"/>
      <c r="CD621" s="180"/>
      <c r="CE621" s="180"/>
      <c r="CF621" s="180"/>
      <c r="CG621" s="180"/>
      <c r="CH621" s="180"/>
      <c r="CI621" s="180"/>
      <c r="CJ621" s="180"/>
      <c r="CK621" s="180"/>
      <c r="CL621" s="180"/>
      <c r="CM621" s="180"/>
      <c r="CN621" s="180"/>
      <c r="CO621" s="180"/>
      <c r="CP621" s="180"/>
      <c r="CQ621" s="180"/>
      <c r="CR621" s="180"/>
      <c r="CS621" s="180"/>
      <c r="CT621" s="180"/>
      <c r="CU621" s="180"/>
      <c r="CV621" s="180"/>
      <c r="CW621" s="180"/>
      <c r="CX621" s="180"/>
      <c r="CY621" s="180"/>
      <c r="CZ621" s="180"/>
    </row>
    <row r="622" spans="1:104" x14ac:dyDescent="0.45">
      <c r="A622" s="180" t="s">
        <v>12</v>
      </c>
      <c r="B622" s="73">
        <v>15</v>
      </c>
      <c r="C622" s="73">
        <v>15</v>
      </c>
      <c r="D622" s="180" t="s">
        <v>271</v>
      </c>
      <c r="E622" s="39">
        <v>43599</v>
      </c>
      <c r="F622" s="179">
        <v>0.42708333333333331</v>
      </c>
      <c r="G622" s="180">
        <v>1</v>
      </c>
      <c r="H622" s="180"/>
      <c r="I622" s="180"/>
      <c r="J622" s="180"/>
      <c r="K622" s="180"/>
      <c r="L622" s="180"/>
      <c r="M622" s="180"/>
      <c r="N622" s="180"/>
      <c r="O622" s="180"/>
      <c r="P622" s="180"/>
      <c r="AS622" s="180"/>
      <c r="AT622" s="180"/>
      <c r="AU622" s="180"/>
      <c r="AV622" s="180"/>
      <c r="AW622" s="180"/>
      <c r="AX622" s="180"/>
      <c r="AY622" s="180"/>
      <c r="AZ622" s="180"/>
      <c r="BA622" s="180"/>
      <c r="BB622" s="180"/>
      <c r="BC622" s="180"/>
      <c r="BD622" s="180"/>
      <c r="BE622" s="180"/>
      <c r="BF622" s="180"/>
      <c r="BG622" s="180"/>
      <c r="BH622" s="180"/>
      <c r="BI622" s="180"/>
      <c r="BJ622" s="180"/>
      <c r="BK622" s="180"/>
      <c r="BL622" s="180"/>
      <c r="BM622" s="180"/>
      <c r="BN622" s="180"/>
      <c r="BO622" s="180"/>
      <c r="BP622" s="180"/>
      <c r="BQ622" s="180"/>
      <c r="BR622" s="180"/>
      <c r="BS622" s="180"/>
      <c r="BT622" s="180"/>
      <c r="BU622" s="180"/>
      <c r="BV622" s="180"/>
      <c r="BW622" s="180"/>
      <c r="BX622" s="180"/>
      <c r="BY622" s="180"/>
      <c r="BZ622" s="180"/>
      <c r="CA622" s="180"/>
      <c r="CB622" s="180"/>
      <c r="CC622" s="180"/>
      <c r="CD622" s="180"/>
      <c r="CE622" s="180"/>
      <c r="CF622" s="180"/>
      <c r="CG622" s="180"/>
      <c r="CH622" s="180"/>
      <c r="CI622" s="180"/>
      <c r="CJ622" s="180"/>
      <c r="CK622" s="180"/>
      <c r="CL622" s="180"/>
      <c r="CM622" s="180"/>
      <c r="CN622" s="180"/>
      <c r="CO622" s="180"/>
      <c r="CP622" s="180"/>
      <c r="CQ622" s="180"/>
      <c r="CR622" s="180"/>
      <c r="CS622" s="180"/>
      <c r="CT622" s="180"/>
      <c r="CU622" s="180"/>
      <c r="CV622" s="180"/>
      <c r="CW622" s="180"/>
      <c r="CX622" s="180"/>
      <c r="CY622" s="180"/>
      <c r="CZ622" s="180"/>
    </row>
    <row r="623" spans="1:104" x14ac:dyDescent="0.45">
      <c r="A623" s="180" t="s">
        <v>12</v>
      </c>
      <c r="B623" s="73">
        <v>17</v>
      </c>
      <c r="C623" s="73">
        <v>17</v>
      </c>
      <c r="D623" s="180" t="s">
        <v>370</v>
      </c>
      <c r="E623" s="39">
        <v>43600</v>
      </c>
      <c r="F623" s="179">
        <v>0.42708333333333331</v>
      </c>
      <c r="G623" s="180">
        <v>1</v>
      </c>
      <c r="H623" s="180"/>
      <c r="I623" s="180"/>
      <c r="J623" s="180"/>
      <c r="K623" s="180"/>
      <c r="L623" s="180"/>
      <c r="M623" s="180"/>
      <c r="N623" s="180"/>
      <c r="O623" s="180"/>
      <c r="P623" s="180"/>
      <c r="AS623" s="180"/>
      <c r="AT623" s="180"/>
      <c r="AU623" s="180"/>
      <c r="AV623" s="180"/>
      <c r="AW623" s="180"/>
      <c r="AX623" s="180"/>
      <c r="AY623" s="180"/>
      <c r="AZ623" s="180"/>
      <c r="BA623" s="180"/>
      <c r="BB623" s="180"/>
      <c r="BC623" s="180"/>
      <c r="BD623" s="180"/>
      <c r="BE623" s="180"/>
      <c r="BF623" s="180"/>
      <c r="BG623" s="180"/>
      <c r="BH623" s="180"/>
      <c r="BI623" s="180"/>
      <c r="BJ623" s="180"/>
      <c r="BK623" s="180"/>
      <c r="BL623" s="180"/>
      <c r="BM623" s="180"/>
      <c r="BN623" s="180"/>
      <c r="BO623" s="180"/>
      <c r="BP623" s="180"/>
      <c r="BQ623" s="180"/>
      <c r="BR623" s="180"/>
      <c r="BS623" s="180"/>
      <c r="BT623" s="180"/>
      <c r="BU623" s="180"/>
      <c r="BV623" s="180"/>
      <c r="BW623" s="180"/>
      <c r="BX623" s="180"/>
      <c r="BY623" s="180"/>
      <c r="BZ623" s="180"/>
      <c r="CA623" s="180"/>
      <c r="CB623" s="180"/>
      <c r="CC623" s="180"/>
      <c r="CD623" s="180"/>
      <c r="CE623" s="180"/>
      <c r="CF623" s="180"/>
      <c r="CG623" s="180"/>
      <c r="CH623" s="180"/>
      <c r="CI623" s="180"/>
      <c r="CJ623" s="180"/>
      <c r="CK623" s="180"/>
      <c r="CL623" s="180"/>
      <c r="CM623" s="180"/>
      <c r="CN623" s="180"/>
      <c r="CO623" s="180"/>
      <c r="CP623" s="180"/>
      <c r="CQ623" s="180"/>
      <c r="CR623" s="180"/>
      <c r="CS623" s="180"/>
      <c r="CT623" s="180"/>
      <c r="CU623" s="180"/>
      <c r="CV623" s="180"/>
      <c r="CW623" s="180"/>
      <c r="CX623" s="180"/>
      <c r="CY623" s="180"/>
      <c r="CZ623" s="180"/>
    </row>
    <row r="624" spans="1:104" x14ac:dyDescent="0.45">
      <c r="A624" s="180" t="s">
        <v>12</v>
      </c>
      <c r="B624" s="73">
        <v>10</v>
      </c>
      <c r="C624" s="73">
        <v>10</v>
      </c>
      <c r="D624" s="180" t="s">
        <v>271</v>
      </c>
      <c r="E624" s="39">
        <v>43601</v>
      </c>
      <c r="F624" s="179">
        <v>0.45833333333333331</v>
      </c>
      <c r="G624" s="180">
        <v>1</v>
      </c>
      <c r="H624" s="180"/>
      <c r="I624" s="180"/>
      <c r="J624" s="180"/>
      <c r="K624" s="180"/>
      <c r="L624" s="180"/>
      <c r="M624" s="180"/>
      <c r="N624" s="180"/>
      <c r="O624" s="180"/>
      <c r="P624" s="180"/>
      <c r="AS624" s="180"/>
      <c r="AT624" s="180"/>
      <c r="AU624" s="180"/>
      <c r="AV624" s="180"/>
      <c r="AW624" s="180"/>
      <c r="AX624" s="180"/>
      <c r="AY624" s="180"/>
      <c r="AZ624" s="180"/>
      <c r="BA624" s="180"/>
      <c r="BB624" s="180"/>
      <c r="BC624" s="180"/>
      <c r="BD624" s="180"/>
      <c r="BE624" s="180"/>
      <c r="BF624" s="180"/>
      <c r="BG624" s="180"/>
      <c r="BH624" s="180"/>
      <c r="BI624" s="180"/>
      <c r="BJ624" s="180"/>
      <c r="BK624" s="180"/>
      <c r="BL624" s="180"/>
      <c r="BM624" s="180"/>
      <c r="BN624" s="180"/>
      <c r="BO624" s="180"/>
      <c r="BP624" s="180"/>
      <c r="BQ624" s="180"/>
      <c r="BR624" s="180"/>
      <c r="BS624" s="180"/>
      <c r="BT624" s="180"/>
      <c r="BU624" s="180"/>
      <c r="BV624" s="180"/>
      <c r="BW624" s="180"/>
      <c r="BX624" s="180"/>
      <c r="BY624" s="180"/>
      <c r="BZ624" s="180"/>
      <c r="CA624" s="180"/>
      <c r="CB624" s="180"/>
      <c r="CC624" s="180"/>
      <c r="CD624" s="180"/>
      <c r="CE624" s="180"/>
      <c r="CF624" s="180"/>
      <c r="CG624" s="180"/>
      <c r="CH624" s="180"/>
      <c r="CI624" s="180"/>
      <c r="CJ624" s="180"/>
      <c r="CK624" s="180"/>
      <c r="CL624" s="180"/>
      <c r="CM624" s="180"/>
      <c r="CN624" s="180"/>
      <c r="CO624" s="180"/>
      <c r="CP624" s="180"/>
      <c r="CQ624" s="180"/>
      <c r="CR624" s="180"/>
      <c r="CS624" s="180"/>
      <c r="CT624" s="180"/>
      <c r="CU624" s="180"/>
      <c r="CV624" s="180"/>
      <c r="CW624" s="180"/>
      <c r="CX624" s="180"/>
      <c r="CY624" s="180"/>
      <c r="CZ624" s="180"/>
    </row>
    <row r="625" spans="1:104" x14ac:dyDescent="0.45">
      <c r="A625" s="180" t="s">
        <v>12</v>
      </c>
      <c r="B625" s="73">
        <v>1</v>
      </c>
      <c r="C625" s="73"/>
      <c r="D625" s="180" t="s">
        <v>271</v>
      </c>
      <c r="E625" s="39">
        <v>43601</v>
      </c>
      <c r="F625" s="179">
        <v>0.70486111111111116</v>
      </c>
      <c r="G625" s="180">
        <v>2</v>
      </c>
      <c r="H625" s="180" t="s">
        <v>405</v>
      </c>
      <c r="I625" s="180"/>
      <c r="J625" s="180"/>
      <c r="K625" s="180"/>
      <c r="L625" s="180"/>
      <c r="M625" s="180"/>
      <c r="N625" s="180"/>
      <c r="O625" s="180"/>
      <c r="P625" s="180"/>
      <c r="AS625" s="180"/>
      <c r="AT625" s="180"/>
      <c r="AU625" s="180"/>
      <c r="AV625" s="180"/>
      <c r="AW625" s="180"/>
      <c r="AX625" s="180"/>
      <c r="AY625" s="180"/>
      <c r="AZ625" s="180"/>
      <c r="BA625" s="180"/>
      <c r="BB625" s="180"/>
      <c r="BC625" s="180"/>
      <c r="BD625" s="180"/>
      <c r="BE625" s="180"/>
      <c r="BF625" s="180"/>
      <c r="BG625" s="180"/>
      <c r="BH625" s="180"/>
      <c r="BI625" s="180"/>
      <c r="BJ625" s="180"/>
      <c r="BK625" s="180"/>
      <c r="BL625" s="180"/>
      <c r="BM625" s="180"/>
      <c r="BN625" s="180"/>
      <c r="BO625" s="180"/>
      <c r="BP625" s="180"/>
      <c r="BQ625" s="180"/>
      <c r="BR625" s="180"/>
      <c r="BS625" s="180"/>
      <c r="BT625" s="180"/>
      <c r="BU625" s="180"/>
      <c r="BV625" s="180"/>
      <c r="BW625" s="180"/>
      <c r="BX625" s="180"/>
      <c r="BY625" s="180"/>
      <c r="BZ625" s="180"/>
      <c r="CA625" s="180"/>
      <c r="CB625" s="180"/>
      <c r="CC625" s="180"/>
      <c r="CD625" s="180"/>
      <c r="CE625" s="180"/>
      <c r="CF625" s="180"/>
      <c r="CG625" s="180"/>
      <c r="CH625" s="180"/>
      <c r="CI625" s="180"/>
      <c r="CJ625" s="180"/>
      <c r="CK625" s="180"/>
      <c r="CL625" s="180"/>
      <c r="CM625" s="180"/>
      <c r="CN625" s="180"/>
      <c r="CO625" s="180"/>
      <c r="CP625" s="180"/>
      <c r="CQ625" s="180"/>
      <c r="CR625" s="180"/>
      <c r="CS625" s="180"/>
      <c r="CT625" s="180"/>
      <c r="CU625" s="180"/>
      <c r="CV625" s="180"/>
      <c r="CW625" s="180"/>
      <c r="CX625" s="180"/>
      <c r="CY625" s="180"/>
      <c r="CZ625" s="180"/>
    </row>
    <row r="626" spans="1:104" x14ac:dyDescent="0.45">
      <c r="A626" s="180" t="s">
        <v>12</v>
      </c>
      <c r="B626" s="73">
        <v>5</v>
      </c>
      <c r="C626" s="73"/>
      <c r="D626" s="180" t="s">
        <v>317</v>
      </c>
      <c r="E626" s="39">
        <v>43603</v>
      </c>
      <c r="F626" s="179">
        <v>0.70694444444444438</v>
      </c>
      <c r="G626" s="180">
        <v>7</v>
      </c>
      <c r="H626" s="180" t="s">
        <v>407</v>
      </c>
      <c r="I626" s="180"/>
      <c r="J626" s="180"/>
      <c r="K626" s="180"/>
      <c r="L626" s="180"/>
      <c r="M626" s="180"/>
      <c r="N626" s="180"/>
      <c r="O626" s="180"/>
      <c r="P626" s="180"/>
      <c r="AS626" s="180"/>
      <c r="AT626" s="180"/>
      <c r="AU626" s="180"/>
      <c r="AV626" s="180"/>
      <c r="AW626" s="180"/>
      <c r="AX626" s="180"/>
      <c r="AY626" s="180"/>
      <c r="AZ626" s="180"/>
      <c r="BA626" s="180"/>
      <c r="BB626" s="180"/>
      <c r="BC626" s="180"/>
      <c r="BD626" s="180"/>
      <c r="BE626" s="180"/>
      <c r="BF626" s="180"/>
      <c r="BG626" s="180"/>
      <c r="BH626" s="180"/>
      <c r="BI626" s="180"/>
      <c r="BJ626" s="180"/>
      <c r="BK626" s="180"/>
      <c r="BL626" s="180"/>
      <c r="BM626" s="180"/>
      <c r="BN626" s="180"/>
      <c r="BO626" s="180"/>
      <c r="BP626" s="180"/>
      <c r="BQ626" s="180"/>
      <c r="BR626" s="180"/>
      <c r="BS626" s="180"/>
      <c r="BT626" s="180"/>
      <c r="BU626" s="180"/>
      <c r="BV626" s="180"/>
      <c r="BW626" s="180"/>
      <c r="BX626" s="180"/>
      <c r="BY626" s="180"/>
      <c r="BZ626" s="180"/>
      <c r="CA626" s="180"/>
      <c r="CB626" s="180"/>
      <c r="CC626" s="180"/>
      <c r="CD626" s="180"/>
      <c r="CE626" s="180"/>
      <c r="CF626" s="180"/>
      <c r="CG626" s="180"/>
      <c r="CH626" s="180"/>
      <c r="CI626" s="180"/>
      <c r="CJ626" s="180"/>
      <c r="CK626" s="180"/>
      <c r="CL626" s="180"/>
      <c r="CM626" s="180"/>
      <c r="CN626" s="180"/>
      <c r="CO626" s="180"/>
      <c r="CP626" s="180"/>
      <c r="CQ626" s="180"/>
      <c r="CR626" s="180"/>
      <c r="CS626" s="180"/>
      <c r="CT626" s="180"/>
      <c r="CU626" s="180"/>
      <c r="CV626" s="180"/>
      <c r="CW626" s="180"/>
      <c r="CX626" s="180"/>
      <c r="CY626" s="180"/>
      <c r="CZ626" s="180"/>
    </row>
    <row r="627" spans="1:104" x14ac:dyDescent="0.45">
      <c r="A627" s="180" t="s">
        <v>12</v>
      </c>
      <c r="B627" s="73">
        <v>5</v>
      </c>
      <c r="C627" s="73"/>
      <c r="D627" s="180" t="s">
        <v>317</v>
      </c>
      <c r="E627" s="39">
        <v>43603</v>
      </c>
      <c r="F627" s="179">
        <v>0.70694444444444438</v>
      </c>
      <c r="G627" s="180">
        <v>7</v>
      </c>
      <c r="H627" s="180" t="s">
        <v>407</v>
      </c>
      <c r="I627" s="180"/>
      <c r="J627" s="180"/>
      <c r="K627" s="180"/>
      <c r="L627" s="180"/>
      <c r="M627" s="180"/>
      <c r="N627" s="180"/>
      <c r="O627" s="180"/>
      <c r="P627" s="180"/>
      <c r="AS627" s="180"/>
      <c r="AT627" s="180"/>
      <c r="AU627" s="180"/>
      <c r="AV627" s="180"/>
      <c r="AW627" s="180"/>
      <c r="AX627" s="180"/>
      <c r="AY627" s="180"/>
      <c r="AZ627" s="180"/>
      <c r="BA627" s="180"/>
      <c r="BB627" s="180"/>
      <c r="BC627" s="180"/>
      <c r="BD627" s="180"/>
      <c r="BE627" s="180"/>
      <c r="BF627" s="180"/>
      <c r="BG627" s="180"/>
      <c r="BH627" s="180"/>
      <c r="BI627" s="180"/>
      <c r="BJ627" s="180"/>
      <c r="BK627" s="180"/>
      <c r="BL627" s="180"/>
      <c r="BM627" s="180"/>
      <c r="BN627" s="180"/>
      <c r="BO627" s="180"/>
      <c r="BP627" s="180"/>
      <c r="BQ627" s="180"/>
      <c r="BR627" s="180"/>
      <c r="BS627" s="180"/>
      <c r="BT627" s="180"/>
      <c r="BU627" s="180"/>
      <c r="BV627" s="180"/>
      <c r="BW627" s="180"/>
      <c r="BX627" s="180"/>
      <c r="BY627" s="180"/>
      <c r="BZ627" s="180"/>
      <c r="CA627" s="180"/>
      <c r="CB627" s="180"/>
      <c r="CC627" s="180"/>
      <c r="CD627" s="180"/>
      <c r="CE627" s="180"/>
      <c r="CF627" s="180"/>
      <c r="CG627" s="180"/>
      <c r="CH627" s="180"/>
      <c r="CI627" s="180"/>
      <c r="CJ627" s="180"/>
      <c r="CK627" s="180"/>
      <c r="CL627" s="180"/>
      <c r="CM627" s="180"/>
      <c r="CN627" s="180"/>
      <c r="CO627" s="180"/>
      <c r="CP627" s="180"/>
      <c r="CQ627" s="180"/>
      <c r="CR627" s="180"/>
      <c r="CS627" s="180"/>
      <c r="CT627" s="180"/>
      <c r="CU627" s="180"/>
      <c r="CV627" s="180"/>
      <c r="CW627" s="180"/>
      <c r="CX627" s="180"/>
      <c r="CY627" s="180"/>
      <c r="CZ627" s="180"/>
    </row>
    <row r="628" spans="1:104" x14ac:dyDescent="0.45">
      <c r="A628" s="180" t="s">
        <v>12</v>
      </c>
      <c r="B628" s="73">
        <v>5</v>
      </c>
      <c r="C628" s="73"/>
      <c r="D628" s="180" t="s">
        <v>317</v>
      </c>
      <c r="E628" s="39">
        <v>43603</v>
      </c>
      <c r="F628" s="179">
        <v>0.70694444444444438</v>
      </c>
      <c r="G628" s="180">
        <v>7</v>
      </c>
      <c r="H628" s="180" t="s">
        <v>407</v>
      </c>
      <c r="I628" s="180"/>
      <c r="J628" s="180"/>
      <c r="K628" s="180"/>
      <c r="L628" s="180"/>
      <c r="M628" s="180"/>
      <c r="N628" s="180"/>
      <c r="O628" s="180"/>
      <c r="P628" s="180"/>
      <c r="AS628" s="180"/>
      <c r="AT628" s="180"/>
      <c r="AU628" s="180"/>
      <c r="AV628" s="180"/>
      <c r="AW628" s="180"/>
      <c r="AX628" s="180"/>
      <c r="AY628" s="180"/>
      <c r="AZ628" s="180"/>
      <c r="BA628" s="180"/>
      <c r="BB628" s="180"/>
      <c r="BC628" s="180"/>
      <c r="BD628" s="180"/>
      <c r="BE628" s="180"/>
      <c r="BF628" s="180"/>
      <c r="BG628" s="180"/>
      <c r="BH628" s="180"/>
      <c r="BI628" s="180"/>
      <c r="BJ628" s="180"/>
      <c r="BK628" s="180"/>
      <c r="BL628" s="180"/>
      <c r="BM628" s="180"/>
      <c r="BN628" s="180"/>
      <c r="BO628" s="180"/>
      <c r="BP628" s="180"/>
      <c r="BQ628" s="180"/>
      <c r="BR628" s="180"/>
      <c r="BS628" s="180"/>
      <c r="BT628" s="180"/>
      <c r="BU628" s="180"/>
      <c r="BV628" s="180"/>
      <c r="BW628" s="180"/>
      <c r="BX628" s="180"/>
      <c r="BY628" s="180"/>
      <c r="BZ628" s="180"/>
      <c r="CA628" s="180"/>
      <c r="CB628" s="180"/>
      <c r="CC628" s="180"/>
      <c r="CD628" s="180"/>
      <c r="CE628" s="180"/>
      <c r="CF628" s="180"/>
      <c r="CG628" s="180"/>
      <c r="CH628" s="180"/>
      <c r="CI628" s="180"/>
      <c r="CJ628" s="180"/>
      <c r="CK628" s="180"/>
      <c r="CL628" s="180"/>
      <c r="CM628" s="180"/>
      <c r="CN628" s="180"/>
      <c r="CO628" s="180"/>
      <c r="CP628" s="180"/>
      <c r="CQ628" s="180"/>
      <c r="CR628" s="180"/>
      <c r="CS628" s="180"/>
      <c r="CT628" s="180"/>
      <c r="CU628" s="180"/>
      <c r="CV628" s="180"/>
      <c r="CW628" s="180"/>
      <c r="CX628" s="180"/>
      <c r="CY628" s="180"/>
      <c r="CZ628" s="180"/>
    </row>
    <row r="629" spans="1:104" x14ac:dyDescent="0.45">
      <c r="A629" s="180" t="s">
        <v>12</v>
      </c>
      <c r="B629" s="73">
        <v>3</v>
      </c>
      <c r="C629" s="73">
        <v>3</v>
      </c>
      <c r="D629" s="180" t="s">
        <v>332</v>
      </c>
      <c r="E629" s="39">
        <v>43603</v>
      </c>
      <c r="F629" s="179">
        <v>0.70833333333333337</v>
      </c>
      <c r="G629" s="180">
        <v>4</v>
      </c>
      <c r="H629" s="180" t="s">
        <v>272</v>
      </c>
      <c r="I629" s="180"/>
      <c r="J629" s="180"/>
      <c r="K629" s="180"/>
      <c r="L629" s="180"/>
      <c r="M629" s="180"/>
      <c r="N629" s="180"/>
      <c r="O629" s="180"/>
      <c r="P629" s="180"/>
      <c r="AS629" s="180"/>
      <c r="AT629" s="180"/>
      <c r="AU629" s="180"/>
      <c r="AV629" s="180"/>
      <c r="AW629" s="180"/>
      <c r="AX629" s="180"/>
      <c r="AY629" s="180"/>
      <c r="AZ629" s="180"/>
      <c r="BA629" s="180"/>
      <c r="BB629" s="180"/>
      <c r="BC629" s="180"/>
      <c r="BD629" s="180"/>
      <c r="BE629" s="180"/>
      <c r="BF629" s="180"/>
      <c r="BG629" s="180"/>
      <c r="BH629" s="180"/>
      <c r="BI629" s="180"/>
      <c r="BJ629" s="180"/>
      <c r="BK629" s="180"/>
      <c r="BL629" s="180"/>
      <c r="BM629" s="180"/>
      <c r="BN629" s="180"/>
      <c r="BO629" s="180"/>
      <c r="BP629" s="180"/>
      <c r="BQ629" s="180"/>
      <c r="BR629" s="180"/>
      <c r="BS629" s="180"/>
      <c r="BT629" s="180"/>
      <c r="BU629" s="180"/>
      <c r="BV629" s="180"/>
      <c r="BW629" s="180"/>
      <c r="BX629" s="180"/>
      <c r="BY629" s="180"/>
      <c r="BZ629" s="180"/>
      <c r="CA629" s="180"/>
      <c r="CB629" s="180"/>
      <c r="CC629" s="180"/>
      <c r="CD629" s="180"/>
      <c r="CE629" s="180"/>
      <c r="CF629" s="180"/>
      <c r="CG629" s="180"/>
      <c r="CH629" s="180"/>
      <c r="CI629" s="180"/>
      <c r="CJ629" s="180"/>
      <c r="CK629" s="180"/>
      <c r="CL629" s="180"/>
      <c r="CM629" s="180"/>
      <c r="CN629" s="180"/>
      <c r="CO629" s="180"/>
      <c r="CP629" s="180"/>
      <c r="CQ629" s="180"/>
      <c r="CR629" s="180"/>
      <c r="CS629" s="180"/>
      <c r="CT629" s="180"/>
      <c r="CU629" s="180"/>
      <c r="CV629" s="180"/>
      <c r="CW629" s="180"/>
      <c r="CX629" s="180"/>
      <c r="CY629" s="180"/>
      <c r="CZ629" s="180"/>
    </row>
    <row r="630" spans="1:104" x14ac:dyDescent="0.45">
      <c r="A630" s="180" t="s">
        <v>12</v>
      </c>
      <c r="B630" s="73">
        <v>3</v>
      </c>
      <c r="C630" s="73"/>
      <c r="D630" s="180" t="s">
        <v>332</v>
      </c>
      <c r="E630" s="39">
        <v>43603</v>
      </c>
      <c r="F630" s="179">
        <v>0.70833333333333337</v>
      </c>
      <c r="G630" s="180">
        <v>4</v>
      </c>
      <c r="H630" s="180" t="s">
        <v>272</v>
      </c>
      <c r="I630" s="180"/>
      <c r="J630" s="180"/>
      <c r="K630" s="180"/>
      <c r="L630" s="180"/>
      <c r="M630" s="180"/>
      <c r="N630" s="180"/>
      <c r="O630" s="180"/>
      <c r="P630" s="180"/>
      <c r="AS630" s="180"/>
      <c r="AT630" s="180"/>
      <c r="AU630" s="180"/>
      <c r="AV630" s="180"/>
      <c r="AW630" s="180"/>
      <c r="AX630" s="180"/>
      <c r="AY630" s="180"/>
      <c r="AZ630" s="180"/>
      <c r="BA630" s="180"/>
      <c r="BB630" s="180"/>
      <c r="BC630" s="180"/>
      <c r="BD630" s="180"/>
      <c r="BE630" s="180"/>
      <c r="BF630" s="180"/>
      <c r="BG630" s="180"/>
      <c r="BH630" s="180"/>
      <c r="BI630" s="180"/>
      <c r="BJ630" s="180"/>
      <c r="BK630" s="180"/>
      <c r="BL630" s="180"/>
      <c r="BM630" s="180"/>
      <c r="BN630" s="180"/>
      <c r="BO630" s="180"/>
      <c r="BP630" s="180"/>
      <c r="BQ630" s="180"/>
      <c r="BR630" s="180"/>
      <c r="BS630" s="180"/>
      <c r="BT630" s="180"/>
      <c r="BU630" s="180"/>
      <c r="BV630" s="180"/>
      <c r="BW630" s="180"/>
      <c r="BX630" s="180"/>
      <c r="BY630" s="180"/>
      <c r="BZ630" s="180"/>
      <c r="CA630" s="180"/>
      <c r="CB630" s="180"/>
      <c r="CC630" s="180"/>
      <c r="CD630" s="180"/>
      <c r="CE630" s="180"/>
      <c r="CF630" s="180"/>
      <c r="CG630" s="180"/>
      <c r="CH630" s="180"/>
      <c r="CI630" s="180"/>
      <c r="CJ630" s="180"/>
      <c r="CK630" s="180"/>
      <c r="CL630" s="180"/>
      <c r="CM630" s="180"/>
      <c r="CN630" s="180"/>
      <c r="CO630" s="180"/>
      <c r="CP630" s="180"/>
      <c r="CQ630" s="180"/>
      <c r="CR630" s="180"/>
      <c r="CS630" s="180"/>
      <c r="CT630" s="180"/>
      <c r="CU630" s="180"/>
      <c r="CV630" s="180"/>
      <c r="CW630" s="180"/>
      <c r="CX630" s="180"/>
      <c r="CY630" s="180"/>
      <c r="CZ630" s="180"/>
    </row>
    <row r="631" spans="1:104" x14ac:dyDescent="0.45">
      <c r="A631" s="180" t="s">
        <v>12</v>
      </c>
      <c r="B631" s="73">
        <v>5</v>
      </c>
      <c r="C631" s="73">
        <v>5</v>
      </c>
      <c r="D631" s="180" t="s">
        <v>311</v>
      </c>
      <c r="E631" s="39">
        <v>43603</v>
      </c>
      <c r="F631" s="179">
        <v>0.70833333333333337</v>
      </c>
      <c r="G631" s="180">
        <v>11</v>
      </c>
      <c r="H631" s="180" t="s">
        <v>408</v>
      </c>
      <c r="I631" s="180"/>
      <c r="J631" s="180"/>
      <c r="K631" s="180"/>
      <c r="L631" s="180"/>
      <c r="M631" s="180"/>
      <c r="N631" s="180"/>
      <c r="O631" s="180"/>
      <c r="P631" s="180"/>
      <c r="AS631" s="180"/>
      <c r="AT631" s="180"/>
      <c r="AU631" s="180"/>
      <c r="AV631" s="180"/>
      <c r="AW631" s="180"/>
      <c r="AX631" s="180"/>
      <c r="AY631" s="180"/>
      <c r="AZ631" s="180"/>
      <c r="BA631" s="180"/>
      <c r="BB631" s="180"/>
      <c r="BC631" s="180"/>
      <c r="BD631" s="180"/>
      <c r="BE631" s="180"/>
      <c r="BF631" s="180"/>
      <c r="BG631" s="180"/>
      <c r="BH631" s="180"/>
      <c r="BI631" s="180"/>
      <c r="BJ631" s="180"/>
      <c r="BK631" s="180"/>
      <c r="BL631" s="180"/>
      <c r="BM631" s="180"/>
      <c r="BN631" s="180"/>
      <c r="BO631" s="180"/>
      <c r="BP631" s="180"/>
      <c r="BQ631" s="180"/>
      <c r="BR631" s="180"/>
      <c r="BS631" s="180"/>
      <c r="BT631" s="180"/>
      <c r="BU631" s="180"/>
      <c r="BV631" s="180"/>
      <c r="BW631" s="180"/>
      <c r="BX631" s="180"/>
      <c r="BY631" s="180"/>
      <c r="BZ631" s="180"/>
      <c r="CA631" s="180"/>
      <c r="CB631" s="180"/>
      <c r="CC631" s="180"/>
      <c r="CD631" s="180"/>
      <c r="CE631" s="180"/>
      <c r="CF631" s="180"/>
      <c r="CG631" s="180"/>
      <c r="CH631" s="180"/>
      <c r="CI631" s="180"/>
      <c r="CJ631" s="180"/>
      <c r="CK631" s="180"/>
      <c r="CL631" s="180"/>
      <c r="CM631" s="180"/>
      <c r="CN631" s="180"/>
      <c r="CO631" s="180"/>
      <c r="CP631" s="180"/>
      <c r="CQ631" s="180"/>
      <c r="CR631" s="180"/>
      <c r="CS631" s="180"/>
      <c r="CT631" s="180"/>
      <c r="CU631" s="180"/>
      <c r="CV631" s="180"/>
      <c r="CW631" s="180"/>
      <c r="CX631" s="180"/>
      <c r="CY631" s="180"/>
      <c r="CZ631" s="180"/>
    </row>
    <row r="632" spans="1:104" x14ac:dyDescent="0.45">
      <c r="A632" s="180" t="s">
        <v>12</v>
      </c>
      <c r="B632" s="73">
        <v>2</v>
      </c>
      <c r="C632" s="73">
        <v>2</v>
      </c>
      <c r="D632" s="180" t="s">
        <v>317</v>
      </c>
      <c r="E632" s="39">
        <v>43606</v>
      </c>
      <c r="F632" s="179">
        <v>0.6069444444444444</v>
      </c>
      <c r="G632" s="180">
        <v>2</v>
      </c>
      <c r="H632" s="180"/>
      <c r="I632" s="180"/>
      <c r="J632" s="180"/>
      <c r="K632" s="180"/>
      <c r="L632" s="180"/>
      <c r="M632" s="180"/>
      <c r="N632" s="180"/>
      <c r="O632" s="180"/>
      <c r="P632" s="180"/>
      <c r="AS632" s="180"/>
      <c r="AT632" s="180"/>
      <c r="AU632" s="180"/>
      <c r="AV632" s="180"/>
      <c r="AW632" s="180"/>
      <c r="AX632" s="180"/>
      <c r="AY632" s="180"/>
      <c r="AZ632" s="180"/>
      <c r="BA632" s="180"/>
      <c r="BB632" s="180"/>
      <c r="BC632" s="180"/>
      <c r="BD632" s="180"/>
      <c r="BE632" s="180"/>
      <c r="BF632" s="180"/>
      <c r="BG632" s="180"/>
      <c r="BH632" s="180"/>
      <c r="BI632" s="180"/>
      <c r="BJ632" s="180"/>
      <c r="BK632" s="180"/>
      <c r="BL632" s="180"/>
      <c r="BM632" s="180"/>
      <c r="BN632" s="180"/>
      <c r="BO632" s="180"/>
      <c r="BP632" s="180"/>
      <c r="BQ632" s="180"/>
      <c r="BR632" s="180"/>
      <c r="BS632" s="180"/>
      <c r="BT632" s="180"/>
      <c r="BU632" s="180"/>
      <c r="BV632" s="180"/>
      <c r="BW632" s="180"/>
      <c r="BX632" s="180"/>
      <c r="BY632" s="180"/>
      <c r="BZ632" s="180"/>
      <c r="CA632" s="180"/>
      <c r="CB632" s="180"/>
      <c r="CC632" s="180"/>
      <c r="CD632" s="180"/>
      <c r="CE632" s="180"/>
      <c r="CF632" s="180"/>
      <c r="CG632" s="180"/>
      <c r="CH632" s="180"/>
      <c r="CI632" s="180"/>
      <c r="CJ632" s="180"/>
      <c r="CK632" s="180"/>
      <c r="CL632" s="180"/>
      <c r="CM632" s="180"/>
      <c r="CN632" s="180"/>
      <c r="CO632" s="180"/>
      <c r="CP632" s="180"/>
      <c r="CQ632" s="180"/>
      <c r="CR632" s="180"/>
      <c r="CS632" s="180"/>
      <c r="CT632" s="180"/>
      <c r="CU632" s="180"/>
      <c r="CV632" s="180"/>
      <c r="CW632" s="180"/>
      <c r="CX632" s="180"/>
      <c r="CY632" s="180"/>
      <c r="CZ632" s="180"/>
    </row>
    <row r="633" spans="1:104" x14ac:dyDescent="0.45">
      <c r="A633" s="180" t="s">
        <v>12</v>
      </c>
      <c r="B633" s="73">
        <v>1</v>
      </c>
      <c r="C633" s="73">
        <v>1</v>
      </c>
      <c r="D633" s="180" t="s">
        <v>317</v>
      </c>
      <c r="E633" s="39">
        <v>43608</v>
      </c>
      <c r="F633" s="179">
        <v>0.81111111111111101</v>
      </c>
      <c r="G633" s="180">
        <v>4</v>
      </c>
      <c r="H633" s="180" t="s">
        <v>476</v>
      </c>
      <c r="I633" s="180"/>
      <c r="J633" s="180"/>
      <c r="K633" s="180"/>
      <c r="L633" s="180"/>
      <c r="M633" s="180"/>
      <c r="N633" s="180"/>
      <c r="O633" s="180"/>
      <c r="P633" s="180"/>
      <c r="AS633" s="180"/>
      <c r="AT633" s="180"/>
      <c r="AU633" s="180"/>
      <c r="AV633" s="180"/>
      <c r="AW633" s="180"/>
      <c r="AX633" s="180"/>
      <c r="AY633" s="180"/>
      <c r="AZ633" s="180"/>
      <c r="BA633" s="180"/>
      <c r="BB633" s="180"/>
      <c r="BC633" s="180"/>
      <c r="BD633" s="180"/>
      <c r="BE633" s="180"/>
      <c r="BF633" s="180"/>
      <c r="BG633" s="180"/>
      <c r="BH633" s="180"/>
      <c r="BI633" s="180"/>
      <c r="BJ633" s="180"/>
      <c r="BK633" s="180"/>
      <c r="BL633" s="180"/>
      <c r="BM633" s="180"/>
      <c r="BN633" s="180"/>
      <c r="BO633" s="180"/>
      <c r="BP633" s="180"/>
      <c r="BQ633" s="180"/>
      <c r="BR633" s="180"/>
      <c r="BS633" s="180"/>
      <c r="BT633" s="180"/>
      <c r="BU633" s="180"/>
      <c r="BV633" s="180"/>
      <c r="BW633" s="180"/>
      <c r="BX633" s="180"/>
      <c r="BY633" s="180"/>
      <c r="BZ633" s="180"/>
      <c r="CA633" s="180"/>
      <c r="CB633" s="180"/>
      <c r="CC633" s="180"/>
      <c r="CD633" s="180"/>
      <c r="CE633" s="180"/>
      <c r="CF633" s="180"/>
      <c r="CG633" s="180"/>
      <c r="CH633" s="180"/>
      <c r="CI633" s="180"/>
      <c r="CJ633" s="180"/>
      <c r="CK633" s="180"/>
      <c r="CL633" s="180"/>
      <c r="CM633" s="180"/>
      <c r="CN633" s="180"/>
      <c r="CO633" s="180"/>
      <c r="CP633" s="180"/>
      <c r="CQ633" s="180"/>
      <c r="CR633" s="180"/>
      <c r="CS633" s="180"/>
      <c r="CT633" s="180"/>
      <c r="CU633" s="180"/>
      <c r="CV633" s="180"/>
      <c r="CW633" s="180"/>
      <c r="CX633" s="180"/>
      <c r="CY633" s="180"/>
      <c r="CZ633" s="180"/>
    </row>
    <row r="634" spans="1:104" x14ac:dyDescent="0.45">
      <c r="A634" s="180" t="s">
        <v>12</v>
      </c>
      <c r="B634" s="73">
        <v>1</v>
      </c>
      <c r="C634" s="73"/>
      <c r="D634" s="180" t="s">
        <v>317</v>
      </c>
      <c r="E634" s="39">
        <v>43608</v>
      </c>
      <c r="F634" s="179">
        <v>0.81111111111111101</v>
      </c>
      <c r="G634" s="180">
        <v>4</v>
      </c>
      <c r="H634" s="180" t="s">
        <v>476</v>
      </c>
      <c r="I634" s="180"/>
      <c r="J634" s="180"/>
      <c r="K634" s="180"/>
      <c r="L634" s="180"/>
      <c r="M634" s="180"/>
      <c r="N634" s="180"/>
      <c r="O634" s="180"/>
      <c r="P634" s="180"/>
      <c r="AS634" s="180"/>
      <c r="AT634" s="180"/>
      <c r="AU634" s="180"/>
      <c r="AV634" s="180"/>
      <c r="AW634" s="180"/>
      <c r="AX634" s="180"/>
      <c r="AY634" s="180"/>
      <c r="AZ634" s="180"/>
      <c r="BA634" s="180"/>
      <c r="BB634" s="180"/>
      <c r="BC634" s="180"/>
      <c r="BD634" s="180"/>
      <c r="BE634" s="180"/>
      <c r="BF634" s="180"/>
      <c r="BG634" s="180"/>
      <c r="BH634" s="180"/>
      <c r="BI634" s="180"/>
      <c r="BJ634" s="180"/>
      <c r="BK634" s="180"/>
      <c r="BL634" s="180"/>
      <c r="BM634" s="180"/>
      <c r="BN634" s="180"/>
      <c r="BO634" s="180"/>
      <c r="BP634" s="180"/>
      <c r="BQ634" s="180"/>
      <c r="BR634" s="180"/>
      <c r="BS634" s="180"/>
      <c r="BT634" s="180"/>
      <c r="BU634" s="180"/>
      <c r="BV634" s="180"/>
      <c r="BW634" s="180"/>
      <c r="BX634" s="180"/>
      <c r="BY634" s="180"/>
      <c r="BZ634" s="180"/>
      <c r="CA634" s="180"/>
      <c r="CB634" s="180"/>
      <c r="CC634" s="180"/>
      <c r="CD634" s="180"/>
      <c r="CE634" s="180"/>
      <c r="CF634" s="180"/>
      <c r="CG634" s="180"/>
      <c r="CH634" s="180"/>
      <c r="CI634" s="180"/>
      <c r="CJ634" s="180"/>
      <c r="CK634" s="180"/>
      <c r="CL634" s="180"/>
      <c r="CM634" s="180"/>
      <c r="CN634" s="180"/>
      <c r="CO634" s="180"/>
      <c r="CP634" s="180"/>
      <c r="CQ634" s="180"/>
      <c r="CR634" s="180"/>
      <c r="CS634" s="180"/>
      <c r="CT634" s="180"/>
      <c r="CU634" s="180"/>
      <c r="CV634" s="180"/>
      <c r="CW634" s="180"/>
      <c r="CX634" s="180"/>
      <c r="CY634" s="180"/>
      <c r="CZ634" s="180"/>
    </row>
    <row r="635" spans="1:104" x14ac:dyDescent="0.45">
      <c r="A635" s="180" t="s">
        <v>12</v>
      </c>
      <c r="B635" s="73">
        <v>1</v>
      </c>
      <c r="C635" s="73"/>
      <c r="D635" s="180" t="s">
        <v>317</v>
      </c>
      <c r="E635" s="39">
        <v>43608</v>
      </c>
      <c r="F635" s="179">
        <v>0.81111111111111101</v>
      </c>
      <c r="G635" s="180">
        <v>4</v>
      </c>
      <c r="H635" s="180" t="s">
        <v>476</v>
      </c>
      <c r="I635" s="180"/>
      <c r="J635" s="180"/>
      <c r="K635" s="180"/>
      <c r="L635" s="180"/>
      <c r="M635" s="180"/>
      <c r="N635" s="180"/>
      <c r="O635" s="180"/>
      <c r="P635" s="180"/>
      <c r="AS635" s="180"/>
      <c r="AT635" s="180"/>
      <c r="AU635" s="180"/>
      <c r="AV635" s="180"/>
      <c r="AW635" s="180"/>
      <c r="AX635" s="180"/>
      <c r="AY635" s="180"/>
      <c r="AZ635" s="180"/>
      <c r="BA635" s="180"/>
      <c r="BB635" s="180"/>
      <c r="BC635" s="180"/>
      <c r="BD635" s="180"/>
      <c r="BE635" s="180"/>
      <c r="BF635" s="180"/>
      <c r="BG635" s="180"/>
      <c r="BH635" s="180"/>
      <c r="BI635" s="180"/>
      <c r="BJ635" s="180"/>
      <c r="BK635" s="180"/>
      <c r="BL635" s="180"/>
      <c r="BM635" s="180"/>
      <c r="BN635" s="180"/>
      <c r="BO635" s="180"/>
      <c r="BP635" s="180"/>
      <c r="BQ635" s="180"/>
      <c r="BR635" s="180"/>
      <c r="BS635" s="180"/>
      <c r="BT635" s="180"/>
      <c r="BU635" s="180"/>
      <c r="BV635" s="180"/>
      <c r="BW635" s="180"/>
      <c r="BX635" s="180"/>
      <c r="BY635" s="180"/>
      <c r="BZ635" s="180"/>
      <c r="CA635" s="180"/>
      <c r="CB635" s="180"/>
      <c r="CC635" s="180"/>
      <c r="CD635" s="180"/>
      <c r="CE635" s="180"/>
      <c r="CF635" s="180"/>
      <c r="CG635" s="180"/>
      <c r="CH635" s="180"/>
      <c r="CI635" s="180"/>
      <c r="CJ635" s="180"/>
      <c r="CK635" s="180"/>
      <c r="CL635" s="180"/>
      <c r="CM635" s="180"/>
      <c r="CN635" s="180"/>
      <c r="CO635" s="180"/>
      <c r="CP635" s="180"/>
      <c r="CQ635" s="180"/>
      <c r="CR635" s="180"/>
      <c r="CS635" s="180"/>
      <c r="CT635" s="180"/>
      <c r="CU635" s="180"/>
      <c r="CV635" s="180"/>
      <c r="CW635" s="180"/>
      <c r="CX635" s="180"/>
      <c r="CY635" s="180"/>
      <c r="CZ635" s="180"/>
    </row>
    <row r="636" spans="1:104" x14ac:dyDescent="0.45">
      <c r="A636" s="180" t="s">
        <v>12</v>
      </c>
      <c r="B636" s="73">
        <v>1</v>
      </c>
      <c r="C636" s="73"/>
      <c r="D636" s="180" t="s">
        <v>311</v>
      </c>
      <c r="E636" s="39">
        <v>43608</v>
      </c>
      <c r="F636" s="179">
        <v>0.8125</v>
      </c>
      <c r="G636" s="180">
        <v>9</v>
      </c>
      <c r="H636" s="180" t="s">
        <v>303</v>
      </c>
      <c r="I636" s="180" t="s">
        <v>477</v>
      </c>
      <c r="J636" s="180"/>
      <c r="K636" s="180"/>
      <c r="L636" s="180"/>
      <c r="M636" s="180"/>
      <c r="N636" s="180"/>
      <c r="O636" s="180"/>
      <c r="P636" s="180"/>
      <c r="AS636" s="180"/>
      <c r="AT636" s="180"/>
      <c r="AU636" s="180"/>
      <c r="AV636" s="180"/>
      <c r="AW636" s="180"/>
      <c r="AX636" s="180"/>
      <c r="AY636" s="180"/>
      <c r="AZ636" s="180"/>
      <c r="BA636" s="180"/>
      <c r="BB636" s="180"/>
      <c r="BC636" s="180"/>
      <c r="BD636" s="180"/>
      <c r="BE636" s="180"/>
      <c r="BF636" s="180"/>
      <c r="BG636" s="180"/>
      <c r="BH636" s="180"/>
      <c r="BI636" s="180"/>
      <c r="BJ636" s="180"/>
      <c r="BK636" s="180"/>
      <c r="BL636" s="180"/>
      <c r="BM636" s="180"/>
      <c r="BN636" s="180"/>
      <c r="BO636" s="180"/>
      <c r="BP636" s="180"/>
      <c r="BQ636" s="180"/>
      <c r="BR636" s="180"/>
      <c r="BS636" s="180"/>
      <c r="BT636" s="180"/>
      <c r="BU636" s="180"/>
      <c r="BV636" s="180"/>
      <c r="BW636" s="180"/>
      <c r="BX636" s="180"/>
      <c r="BY636" s="180"/>
      <c r="BZ636" s="180"/>
      <c r="CA636" s="180"/>
      <c r="CB636" s="180"/>
      <c r="CC636" s="180"/>
      <c r="CD636" s="180"/>
      <c r="CE636" s="180"/>
      <c r="CF636" s="180"/>
      <c r="CG636" s="180"/>
      <c r="CH636" s="180"/>
      <c r="CI636" s="180"/>
      <c r="CJ636" s="180"/>
      <c r="CK636" s="180"/>
      <c r="CL636" s="180"/>
      <c r="CM636" s="180"/>
      <c r="CN636" s="180"/>
      <c r="CO636" s="180"/>
      <c r="CP636" s="180"/>
      <c r="CQ636" s="180"/>
      <c r="CR636" s="180"/>
      <c r="CS636" s="180"/>
      <c r="CT636" s="180"/>
      <c r="CU636" s="180"/>
      <c r="CV636" s="180"/>
      <c r="CW636" s="180"/>
      <c r="CX636" s="180"/>
      <c r="CY636" s="180"/>
      <c r="CZ636" s="180"/>
    </row>
    <row r="637" spans="1:104" x14ac:dyDescent="0.45">
      <c r="A637" s="1" t="s">
        <v>273</v>
      </c>
      <c r="B637" s="73"/>
      <c r="C637" s="73">
        <f>SUM(C552:C636)</f>
        <v>346</v>
      </c>
      <c r="D637" s="180"/>
      <c r="E637" s="39"/>
      <c r="F637" s="179"/>
      <c r="G637" s="180"/>
      <c r="H637" s="180"/>
      <c r="I637" s="180"/>
      <c r="J637" s="180"/>
      <c r="K637" s="180"/>
      <c r="L637" s="180"/>
      <c r="M637" s="180"/>
      <c r="N637" s="180"/>
      <c r="O637" s="180"/>
      <c r="P637" s="180"/>
      <c r="AS637" s="180"/>
      <c r="AT637" s="180"/>
      <c r="AU637" s="180"/>
      <c r="AV637" s="180"/>
      <c r="AW637" s="180"/>
      <c r="AX637" s="180"/>
      <c r="AY637" s="180"/>
      <c r="AZ637" s="180"/>
      <c r="BA637" s="180"/>
      <c r="BB637" s="180"/>
      <c r="BC637" s="180"/>
      <c r="BD637" s="180"/>
      <c r="BE637" s="180"/>
      <c r="BF637" s="180"/>
      <c r="BG637" s="180"/>
      <c r="BH637" s="180"/>
      <c r="BI637" s="180"/>
      <c r="BJ637" s="180"/>
      <c r="BK637" s="180"/>
      <c r="BL637" s="180"/>
      <c r="BM637" s="180"/>
      <c r="BN637" s="180"/>
      <c r="BO637" s="180"/>
      <c r="BP637" s="180"/>
      <c r="BQ637" s="180"/>
      <c r="BR637" s="180"/>
      <c r="BS637" s="180"/>
      <c r="BT637" s="180"/>
      <c r="BU637" s="180"/>
      <c r="BV637" s="180"/>
      <c r="BW637" s="180"/>
      <c r="BX637" s="180"/>
      <c r="BY637" s="180"/>
      <c r="BZ637" s="180"/>
      <c r="CA637" s="180"/>
      <c r="CB637" s="180"/>
      <c r="CC637" s="180"/>
      <c r="CD637" s="180"/>
      <c r="CE637" s="180"/>
      <c r="CF637" s="180"/>
      <c r="CG637" s="180"/>
      <c r="CH637" s="180"/>
      <c r="CI637" s="180"/>
      <c r="CJ637" s="180"/>
      <c r="CK637" s="180"/>
      <c r="CL637" s="180"/>
      <c r="CM637" s="180"/>
      <c r="CN637" s="180"/>
      <c r="CO637" s="180"/>
      <c r="CP637" s="180"/>
      <c r="CQ637" s="180"/>
      <c r="CR637" s="180"/>
      <c r="CS637" s="180"/>
      <c r="CT637" s="180"/>
      <c r="CU637" s="180"/>
      <c r="CV637" s="180"/>
      <c r="CW637" s="180"/>
      <c r="CX637" s="180"/>
      <c r="CY637" s="180"/>
      <c r="CZ637" s="180"/>
    </row>
    <row r="638" spans="1:104" x14ac:dyDescent="0.45">
      <c r="A638" s="180"/>
      <c r="B638" s="73"/>
      <c r="C638" s="73"/>
      <c r="D638" s="180"/>
      <c r="E638" s="39"/>
      <c r="F638" s="179"/>
      <c r="G638" s="180"/>
      <c r="H638" s="180"/>
      <c r="I638" s="180"/>
      <c r="J638" s="180"/>
      <c r="K638" s="180"/>
      <c r="L638" s="180"/>
      <c r="M638" s="180"/>
      <c r="N638" s="180"/>
      <c r="O638" s="180"/>
      <c r="P638" s="180"/>
      <c r="AS638" s="180"/>
      <c r="AT638" s="180"/>
      <c r="AU638" s="180"/>
      <c r="AV638" s="180"/>
      <c r="AW638" s="180"/>
      <c r="AX638" s="180"/>
      <c r="AY638" s="180"/>
      <c r="AZ638" s="180"/>
      <c r="BA638" s="180"/>
      <c r="BB638" s="180"/>
      <c r="BC638" s="180"/>
      <c r="BD638" s="180"/>
      <c r="BE638" s="180"/>
      <c r="BF638" s="180"/>
      <c r="BG638" s="180"/>
      <c r="BH638" s="180"/>
      <c r="BI638" s="180"/>
      <c r="BJ638" s="180"/>
      <c r="BK638" s="180"/>
      <c r="BL638" s="180"/>
      <c r="BM638" s="180"/>
      <c r="BN638" s="180"/>
      <c r="BO638" s="180"/>
      <c r="BP638" s="180"/>
      <c r="BQ638" s="180"/>
      <c r="BR638" s="180"/>
      <c r="BS638" s="180"/>
      <c r="BT638" s="180"/>
      <c r="BU638" s="180"/>
      <c r="BV638" s="180"/>
      <c r="BW638" s="180"/>
      <c r="BX638" s="180"/>
      <c r="BY638" s="180"/>
      <c r="BZ638" s="180"/>
      <c r="CA638" s="180"/>
      <c r="CB638" s="180"/>
      <c r="CC638" s="180"/>
      <c r="CD638" s="180"/>
      <c r="CE638" s="180"/>
      <c r="CF638" s="180"/>
      <c r="CG638" s="180"/>
      <c r="CH638" s="180"/>
      <c r="CI638" s="180"/>
      <c r="CJ638" s="180"/>
      <c r="CK638" s="180"/>
      <c r="CL638" s="180"/>
      <c r="CM638" s="180"/>
      <c r="CN638" s="180"/>
      <c r="CO638" s="180"/>
      <c r="CP638" s="180"/>
      <c r="CQ638" s="180"/>
      <c r="CR638" s="180"/>
      <c r="CS638" s="180"/>
      <c r="CT638" s="180"/>
      <c r="CU638" s="180"/>
      <c r="CV638" s="180"/>
      <c r="CW638" s="180"/>
      <c r="CX638" s="180"/>
      <c r="CY638" s="180"/>
      <c r="CZ638" s="180"/>
    </row>
    <row r="639" spans="1:104" x14ac:dyDescent="0.45">
      <c r="A639" s="180" t="s">
        <v>4</v>
      </c>
      <c r="B639" s="73">
        <v>1</v>
      </c>
      <c r="C639" s="73">
        <v>1</v>
      </c>
      <c r="D639" s="180" t="s">
        <v>415</v>
      </c>
      <c r="E639" s="39">
        <v>43578</v>
      </c>
      <c r="F639" s="179">
        <v>0.3298611111111111</v>
      </c>
      <c r="G639" s="180">
        <v>1</v>
      </c>
      <c r="H639" s="180"/>
      <c r="I639" s="180"/>
      <c r="J639" s="180"/>
      <c r="K639" s="180"/>
      <c r="L639" s="180"/>
      <c r="M639" s="180"/>
      <c r="N639" s="180"/>
      <c r="O639" s="180"/>
      <c r="P639" s="180"/>
      <c r="AS639" s="180"/>
      <c r="AT639" s="180"/>
      <c r="AU639" s="180"/>
      <c r="AV639" s="180"/>
      <c r="AW639" s="180"/>
      <c r="AX639" s="180"/>
      <c r="AY639" s="180"/>
      <c r="AZ639" s="180"/>
      <c r="BA639" s="180"/>
      <c r="BB639" s="180"/>
      <c r="BC639" s="180"/>
      <c r="BD639" s="180"/>
      <c r="BE639" s="180"/>
      <c r="BF639" s="180"/>
      <c r="BG639" s="180"/>
      <c r="BH639" s="180"/>
      <c r="BI639" s="180"/>
      <c r="BJ639" s="180"/>
      <c r="BK639" s="180"/>
      <c r="BL639" s="180"/>
      <c r="BM639" s="180"/>
      <c r="BN639" s="180"/>
      <c r="BO639" s="180"/>
      <c r="BP639" s="180"/>
      <c r="BQ639" s="180"/>
      <c r="BR639" s="180"/>
      <c r="BS639" s="180"/>
      <c r="BT639" s="180"/>
      <c r="BU639" s="180"/>
      <c r="BV639" s="180"/>
      <c r="BW639" s="180"/>
      <c r="BX639" s="180"/>
      <c r="BY639" s="180"/>
      <c r="BZ639" s="180"/>
      <c r="CA639" s="180"/>
      <c r="CB639" s="180"/>
      <c r="CC639" s="180"/>
      <c r="CD639" s="180"/>
      <c r="CE639" s="180"/>
      <c r="CF639" s="180"/>
      <c r="CG639" s="180"/>
      <c r="CH639" s="180"/>
      <c r="CI639" s="180"/>
      <c r="CJ639" s="180"/>
      <c r="CK639" s="180"/>
      <c r="CL639" s="180"/>
      <c r="CM639" s="180"/>
      <c r="CN639" s="180"/>
      <c r="CO639" s="180"/>
      <c r="CP639" s="180"/>
      <c r="CQ639" s="180"/>
      <c r="CR639" s="180"/>
      <c r="CS639" s="180"/>
      <c r="CT639" s="180"/>
      <c r="CU639" s="180"/>
      <c r="CV639" s="180"/>
      <c r="CW639" s="180"/>
      <c r="CX639" s="180"/>
      <c r="CY639" s="180"/>
      <c r="CZ639" s="180"/>
    </row>
    <row r="640" spans="1:104" x14ac:dyDescent="0.45">
      <c r="A640" s="180" t="s">
        <v>4</v>
      </c>
      <c r="B640" s="73">
        <v>2</v>
      </c>
      <c r="C640" s="73">
        <v>2</v>
      </c>
      <c r="D640" s="180" t="s">
        <v>296</v>
      </c>
      <c r="E640" s="39">
        <v>43582</v>
      </c>
      <c r="F640" s="179">
        <v>0.3125</v>
      </c>
      <c r="G640" s="180">
        <v>1</v>
      </c>
      <c r="H640" s="180"/>
      <c r="I640" s="180"/>
      <c r="J640" s="180"/>
      <c r="K640" s="180"/>
      <c r="L640" s="180"/>
      <c r="M640" s="180"/>
      <c r="N640" s="180"/>
      <c r="O640" s="180"/>
      <c r="P640" s="180"/>
      <c r="AS640" s="180"/>
      <c r="AT640" s="180"/>
      <c r="AU640" s="180"/>
      <c r="AV640" s="180"/>
      <c r="AW640" s="180"/>
      <c r="AX640" s="180"/>
      <c r="AY640" s="180"/>
      <c r="AZ640" s="180"/>
      <c r="BA640" s="180"/>
      <c r="BB640" s="180"/>
      <c r="BC640" s="180"/>
      <c r="BD640" s="180"/>
      <c r="BE640" s="180"/>
      <c r="BF640" s="180"/>
      <c r="BG640" s="180"/>
      <c r="BH640" s="180"/>
      <c r="BI640" s="180"/>
      <c r="BJ640" s="180"/>
      <c r="BK640" s="180"/>
      <c r="BL640" s="180"/>
      <c r="BM640" s="180"/>
      <c r="BN640" s="180"/>
      <c r="BO640" s="180"/>
      <c r="BP640" s="180"/>
      <c r="BQ640" s="180"/>
      <c r="BR640" s="180"/>
      <c r="BS640" s="180"/>
      <c r="BT640" s="180"/>
      <c r="BU640" s="180"/>
      <c r="BV640" s="180"/>
      <c r="BW640" s="180"/>
      <c r="BX640" s="180"/>
      <c r="BY640" s="180"/>
      <c r="BZ640" s="180"/>
      <c r="CA640" s="180"/>
      <c r="CB640" s="180"/>
      <c r="CC640" s="180"/>
      <c r="CD640" s="180"/>
      <c r="CE640" s="180"/>
      <c r="CF640" s="180"/>
      <c r="CG640" s="180"/>
      <c r="CH640" s="180"/>
      <c r="CI640" s="180"/>
      <c r="CJ640" s="180"/>
      <c r="CK640" s="180"/>
      <c r="CL640" s="180"/>
      <c r="CM640" s="180"/>
      <c r="CN640" s="180"/>
      <c r="CO640" s="180"/>
      <c r="CP640" s="180"/>
      <c r="CQ640" s="180"/>
      <c r="CR640" s="180"/>
      <c r="CS640" s="180"/>
      <c r="CT640" s="180"/>
      <c r="CU640" s="180"/>
      <c r="CV640" s="180"/>
      <c r="CW640" s="180"/>
      <c r="CX640" s="180"/>
      <c r="CY640" s="180"/>
      <c r="CZ640" s="180"/>
    </row>
    <row r="641" spans="1:104" x14ac:dyDescent="0.45">
      <c r="A641" s="180" t="s">
        <v>4</v>
      </c>
      <c r="B641" s="73">
        <v>1</v>
      </c>
      <c r="C641" s="73">
        <v>1</v>
      </c>
      <c r="D641" s="180" t="s">
        <v>349</v>
      </c>
      <c r="E641" s="39">
        <v>43582</v>
      </c>
      <c r="F641" s="179">
        <v>0.44375000000000003</v>
      </c>
      <c r="G641" s="180">
        <v>2</v>
      </c>
      <c r="H641" s="180" t="s">
        <v>350</v>
      </c>
      <c r="I641" s="180"/>
      <c r="J641" s="180"/>
      <c r="K641" s="180"/>
      <c r="L641" s="180"/>
      <c r="M641" s="180"/>
      <c r="N641" s="180"/>
      <c r="O641" s="180"/>
      <c r="P641" s="180"/>
      <c r="AS641" s="180"/>
      <c r="AT641" s="180"/>
      <c r="AU641" s="180"/>
      <c r="AV641" s="180"/>
      <c r="AW641" s="180"/>
      <c r="AX641" s="180"/>
      <c r="AY641" s="180"/>
      <c r="AZ641" s="180"/>
      <c r="BA641" s="180"/>
      <c r="BB641" s="180"/>
      <c r="BC641" s="180"/>
      <c r="BD641" s="180"/>
      <c r="BE641" s="180"/>
      <c r="BF641" s="180"/>
      <c r="BG641" s="180"/>
      <c r="BH641" s="180"/>
      <c r="BI641" s="180"/>
      <c r="BJ641" s="180"/>
      <c r="BK641" s="180"/>
      <c r="BL641" s="180"/>
      <c r="BM641" s="180"/>
      <c r="BN641" s="180"/>
      <c r="BO641" s="180"/>
      <c r="BP641" s="180"/>
      <c r="BQ641" s="180"/>
      <c r="BR641" s="180"/>
      <c r="BS641" s="180"/>
      <c r="BT641" s="180"/>
      <c r="BU641" s="180"/>
      <c r="BV641" s="180"/>
      <c r="BW641" s="180"/>
      <c r="BX641" s="180"/>
      <c r="BY641" s="180"/>
      <c r="BZ641" s="180"/>
      <c r="CA641" s="180"/>
      <c r="CB641" s="180"/>
      <c r="CC641" s="180"/>
      <c r="CD641" s="180"/>
      <c r="CE641" s="180"/>
      <c r="CF641" s="180"/>
      <c r="CG641" s="180"/>
      <c r="CH641" s="180"/>
      <c r="CI641" s="180"/>
      <c r="CJ641" s="180"/>
      <c r="CK641" s="180"/>
      <c r="CL641" s="180"/>
      <c r="CM641" s="180"/>
      <c r="CN641" s="180"/>
      <c r="CO641" s="180"/>
      <c r="CP641" s="180"/>
      <c r="CQ641" s="180"/>
      <c r="CR641" s="180"/>
      <c r="CS641" s="180"/>
      <c r="CT641" s="180"/>
      <c r="CU641" s="180"/>
      <c r="CV641" s="180"/>
      <c r="CW641" s="180"/>
      <c r="CX641" s="180"/>
      <c r="CY641" s="180"/>
      <c r="CZ641" s="180"/>
    </row>
    <row r="642" spans="1:104" x14ac:dyDescent="0.45">
      <c r="A642" s="180" t="s">
        <v>4</v>
      </c>
      <c r="B642" s="73">
        <v>1</v>
      </c>
      <c r="C642" s="73"/>
      <c r="D642" s="180" t="s">
        <v>349</v>
      </c>
      <c r="E642" s="39">
        <v>43582</v>
      </c>
      <c r="F642" s="179">
        <v>0.44375000000000003</v>
      </c>
      <c r="G642" s="180">
        <v>2</v>
      </c>
      <c r="H642" s="180" t="s">
        <v>350</v>
      </c>
      <c r="I642" s="180"/>
      <c r="J642" s="180"/>
      <c r="K642" s="180"/>
      <c r="L642" s="180"/>
      <c r="M642" s="180"/>
      <c r="N642" s="180"/>
      <c r="O642" s="180"/>
      <c r="P642" s="180"/>
      <c r="AS642" s="180"/>
      <c r="AT642" s="180"/>
      <c r="AU642" s="180"/>
      <c r="AV642" s="180"/>
      <c r="AW642" s="180"/>
      <c r="AX642" s="180"/>
      <c r="AY642" s="180"/>
      <c r="AZ642" s="180"/>
      <c r="BA642" s="180"/>
      <c r="BB642" s="180"/>
      <c r="BC642" s="180"/>
      <c r="BD642" s="180"/>
      <c r="BE642" s="180"/>
      <c r="BF642" s="180"/>
      <c r="BG642" s="180"/>
      <c r="BH642" s="180"/>
      <c r="BI642" s="180"/>
      <c r="BJ642" s="180"/>
      <c r="BK642" s="180"/>
      <c r="BL642" s="180"/>
      <c r="BM642" s="180"/>
      <c r="BN642" s="180"/>
      <c r="BO642" s="180"/>
      <c r="BP642" s="180"/>
      <c r="BQ642" s="180"/>
      <c r="BR642" s="180"/>
      <c r="BS642" s="180"/>
      <c r="BT642" s="180"/>
      <c r="BU642" s="180"/>
      <c r="BV642" s="180"/>
      <c r="BW642" s="180"/>
      <c r="BX642" s="180"/>
      <c r="BY642" s="180"/>
      <c r="BZ642" s="180"/>
      <c r="CA642" s="180"/>
      <c r="CB642" s="180"/>
      <c r="CC642" s="180"/>
      <c r="CD642" s="180"/>
      <c r="CE642" s="180"/>
      <c r="CF642" s="180"/>
      <c r="CG642" s="180"/>
      <c r="CH642" s="180"/>
      <c r="CI642" s="180"/>
      <c r="CJ642" s="180"/>
      <c r="CK642" s="180"/>
      <c r="CL642" s="180"/>
      <c r="CM642" s="180"/>
      <c r="CN642" s="180"/>
      <c r="CO642" s="180"/>
      <c r="CP642" s="180"/>
      <c r="CQ642" s="180"/>
      <c r="CR642" s="180"/>
      <c r="CS642" s="180"/>
      <c r="CT642" s="180"/>
      <c r="CU642" s="180"/>
      <c r="CV642" s="180"/>
      <c r="CW642" s="180"/>
      <c r="CX642" s="180"/>
      <c r="CY642" s="180"/>
      <c r="CZ642" s="180"/>
    </row>
    <row r="643" spans="1:104" x14ac:dyDescent="0.45">
      <c r="A643" s="180" t="s">
        <v>4</v>
      </c>
      <c r="B643" s="73">
        <v>1</v>
      </c>
      <c r="C643" s="73">
        <v>1</v>
      </c>
      <c r="D643" s="180" t="s">
        <v>128</v>
      </c>
      <c r="E643" s="39">
        <v>43590</v>
      </c>
      <c r="F643" s="179">
        <v>0.54027777777777775</v>
      </c>
      <c r="G643" s="180">
        <v>1</v>
      </c>
      <c r="H643" s="180"/>
      <c r="I643" s="180" t="s">
        <v>478</v>
      </c>
      <c r="J643" s="180"/>
      <c r="K643" s="180"/>
      <c r="L643" s="180"/>
      <c r="M643" s="180"/>
      <c r="N643" s="180"/>
      <c r="O643" s="180"/>
      <c r="P643" s="180"/>
      <c r="AS643" s="180"/>
      <c r="AT643" s="180"/>
      <c r="AU643" s="180"/>
      <c r="AV643" s="180"/>
      <c r="AW643" s="180"/>
      <c r="AX643" s="180"/>
      <c r="AY643" s="180"/>
      <c r="AZ643" s="180"/>
      <c r="BA643" s="180"/>
      <c r="BB643" s="180"/>
      <c r="BC643" s="180"/>
      <c r="BD643" s="180"/>
      <c r="BE643" s="180"/>
      <c r="BF643" s="180"/>
      <c r="BG643" s="180"/>
      <c r="BH643" s="180"/>
      <c r="BI643" s="180"/>
      <c r="BJ643" s="180"/>
      <c r="BK643" s="180"/>
      <c r="BL643" s="180"/>
      <c r="BM643" s="180"/>
      <c r="BN643" s="180"/>
      <c r="BO643" s="180"/>
      <c r="BP643" s="180"/>
      <c r="BQ643" s="180"/>
      <c r="BR643" s="180"/>
      <c r="BS643" s="180"/>
      <c r="BT643" s="180"/>
      <c r="BU643" s="180"/>
      <c r="BV643" s="180"/>
      <c r="BW643" s="180"/>
      <c r="BX643" s="180"/>
      <c r="BY643" s="180"/>
      <c r="BZ643" s="180"/>
      <c r="CA643" s="180"/>
      <c r="CB643" s="180"/>
      <c r="CC643" s="180"/>
      <c r="CD643" s="180"/>
      <c r="CE643" s="180"/>
      <c r="CF643" s="180"/>
      <c r="CG643" s="180"/>
      <c r="CH643" s="180"/>
      <c r="CI643" s="180"/>
      <c r="CJ643" s="180"/>
      <c r="CK643" s="180"/>
      <c r="CL643" s="180"/>
      <c r="CM643" s="180"/>
      <c r="CN643" s="180"/>
      <c r="CO643" s="180"/>
      <c r="CP643" s="180"/>
      <c r="CQ643" s="180"/>
      <c r="CR643" s="180"/>
      <c r="CS643" s="180"/>
      <c r="CT643" s="180"/>
      <c r="CU643" s="180"/>
      <c r="CV643" s="180"/>
      <c r="CW643" s="180"/>
      <c r="CX643" s="180"/>
      <c r="CY643" s="180"/>
      <c r="CZ643" s="180"/>
    </row>
    <row r="644" spans="1:104" x14ac:dyDescent="0.45">
      <c r="A644" s="180" t="s">
        <v>4</v>
      </c>
      <c r="B644" s="73">
        <v>1</v>
      </c>
      <c r="C644" s="73"/>
      <c r="D644" s="180" t="s">
        <v>296</v>
      </c>
      <c r="E644" s="39">
        <v>43593</v>
      </c>
      <c r="F644" s="179">
        <v>0.78472222222222221</v>
      </c>
      <c r="G644" s="180">
        <v>2</v>
      </c>
      <c r="H644" s="180"/>
      <c r="I644" s="180" t="s">
        <v>479</v>
      </c>
      <c r="J644" s="180"/>
      <c r="K644" s="180"/>
      <c r="L644" s="180"/>
      <c r="M644" s="180"/>
      <c r="N644" s="180"/>
      <c r="O644" s="180"/>
      <c r="P644" s="180"/>
      <c r="AS644" s="180"/>
      <c r="AT644" s="180"/>
      <c r="AU644" s="180"/>
      <c r="AV644" s="180"/>
      <c r="AW644" s="180"/>
      <c r="AX644" s="180"/>
      <c r="AY644" s="180"/>
      <c r="AZ644" s="180"/>
      <c r="BA644" s="180"/>
      <c r="BB644" s="180"/>
      <c r="BC644" s="180"/>
      <c r="BD644" s="180"/>
      <c r="BE644" s="180"/>
      <c r="BF644" s="180"/>
      <c r="BG644" s="180"/>
      <c r="BH644" s="180"/>
      <c r="BI644" s="180"/>
      <c r="BJ644" s="180"/>
      <c r="BK644" s="180"/>
      <c r="BL644" s="180"/>
      <c r="BM644" s="180"/>
      <c r="BN644" s="180"/>
      <c r="BO644" s="180"/>
      <c r="BP644" s="180"/>
      <c r="BQ644" s="180"/>
      <c r="BR644" s="180"/>
      <c r="BS644" s="180"/>
      <c r="BT644" s="180"/>
      <c r="BU644" s="180"/>
      <c r="BV644" s="180"/>
      <c r="BW644" s="180"/>
      <c r="BX644" s="180"/>
      <c r="BY644" s="180"/>
      <c r="BZ644" s="180"/>
      <c r="CA644" s="180"/>
      <c r="CB644" s="180"/>
      <c r="CC644" s="180"/>
      <c r="CD644" s="180"/>
      <c r="CE644" s="180"/>
      <c r="CF644" s="180"/>
      <c r="CG644" s="180"/>
      <c r="CH644" s="180"/>
      <c r="CI644" s="180"/>
      <c r="CJ644" s="180"/>
      <c r="CK644" s="180"/>
      <c r="CL644" s="180"/>
      <c r="CM644" s="180"/>
      <c r="CN644" s="180"/>
      <c r="CO644" s="180"/>
      <c r="CP644" s="180"/>
      <c r="CQ644" s="180"/>
      <c r="CR644" s="180"/>
      <c r="CS644" s="180"/>
      <c r="CT644" s="180"/>
      <c r="CU644" s="180"/>
      <c r="CV644" s="180"/>
      <c r="CW644" s="180"/>
      <c r="CX644" s="180"/>
      <c r="CY644" s="180"/>
      <c r="CZ644" s="180"/>
    </row>
    <row r="645" spans="1:104" x14ac:dyDescent="0.45">
      <c r="A645" s="180" t="s">
        <v>4</v>
      </c>
      <c r="B645" s="73">
        <v>2</v>
      </c>
      <c r="C645" s="73">
        <v>2</v>
      </c>
      <c r="D645" s="180" t="s">
        <v>296</v>
      </c>
      <c r="E645" s="39">
        <v>43593</v>
      </c>
      <c r="F645" s="179">
        <v>0.68055555555555547</v>
      </c>
      <c r="G645" s="180">
        <v>1</v>
      </c>
      <c r="H645" s="180"/>
      <c r="I645" s="180"/>
      <c r="J645" s="180"/>
      <c r="K645" s="180"/>
      <c r="L645" s="180"/>
      <c r="M645" s="180"/>
      <c r="N645" s="180"/>
      <c r="O645" s="180"/>
      <c r="P645" s="180"/>
      <c r="AS645" s="180"/>
      <c r="AT645" s="180"/>
      <c r="AU645" s="180"/>
      <c r="AV645" s="180"/>
      <c r="AW645" s="180"/>
      <c r="AX645" s="180"/>
      <c r="AY645" s="180"/>
      <c r="AZ645" s="180"/>
      <c r="BA645" s="180"/>
      <c r="BB645" s="180"/>
      <c r="BC645" s="180"/>
      <c r="BD645" s="180"/>
      <c r="BE645" s="180"/>
      <c r="BF645" s="180"/>
      <c r="BG645" s="180"/>
      <c r="BH645" s="180"/>
      <c r="BI645" s="180"/>
      <c r="BJ645" s="180"/>
      <c r="BK645" s="180"/>
      <c r="BL645" s="180"/>
      <c r="BM645" s="180"/>
      <c r="BN645" s="180"/>
      <c r="BO645" s="180"/>
      <c r="BP645" s="180"/>
      <c r="BQ645" s="180"/>
      <c r="BR645" s="180"/>
      <c r="BS645" s="180"/>
      <c r="BT645" s="180"/>
      <c r="BU645" s="180"/>
      <c r="BV645" s="180"/>
      <c r="BW645" s="180"/>
      <c r="BX645" s="180"/>
      <c r="BY645" s="180"/>
      <c r="BZ645" s="180"/>
      <c r="CA645" s="180"/>
      <c r="CB645" s="180"/>
      <c r="CC645" s="180"/>
      <c r="CD645" s="180"/>
      <c r="CE645" s="180"/>
      <c r="CF645" s="180"/>
      <c r="CG645" s="180"/>
      <c r="CH645" s="180"/>
      <c r="CI645" s="180"/>
      <c r="CJ645" s="180"/>
      <c r="CK645" s="180"/>
      <c r="CL645" s="180"/>
      <c r="CM645" s="180"/>
      <c r="CN645" s="180"/>
      <c r="CO645" s="180"/>
      <c r="CP645" s="180"/>
      <c r="CQ645" s="180"/>
      <c r="CR645" s="180"/>
      <c r="CS645" s="180"/>
      <c r="CT645" s="180"/>
      <c r="CU645" s="180"/>
      <c r="CV645" s="180"/>
      <c r="CW645" s="180"/>
      <c r="CX645" s="180"/>
      <c r="CY645" s="180"/>
      <c r="CZ645" s="180"/>
    </row>
    <row r="646" spans="1:104" x14ac:dyDescent="0.45">
      <c r="A646" s="180" t="s">
        <v>4</v>
      </c>
      <c r="B646" s="73">
        <v>1</v>
      </c>
      <c r="C646" s="73"/>
      <c r="D646" s="180" t="s">
        <v>271</v>
      </c>
      <c r="E646" s="39">
        <v>43593</v>
      </c>
      <c r="F646" s="179">
        <v>0.76180555555555562</v>
      </c>
      <c r="G646" s="180">
        <v>1</v>
      </c>
      <c r="H646" s="180"/>
      <c r="I646" s="180"/>
      <c r="J646" s="180"/>
      <c r="K646" s="180"/>
      <c r="L646" s="180"/>
      <c r="M646" s="180"/>
      <c r="N646" s="180"/>
      <c r="O646" s="180"/>
      <c r="P646" s="180"/>
      <c r="AS646" s="180"/>
      <c r="AT646" s="180"/>
      <c r="AU646" s="180"/>
      <c r="AV646" s="180"/>
      <c r="AW646" s="180"/>
      <c r="AX646" s="180"/>
      <c r="AY646" s="180"/>
      <c r="AZ646" s="180"/>
      <c r="BA646" s="180"/>
      <c r="BB646" s="180"/>
      <c r="BC646" s="180"/>
      <c r="BD646" s="180"/>
      <c r="BE646" s="180"/>
      <c r="BF646" s="180"/>
      <c r="BG646" s="180"/>
      <c r="BH646" s="180"/>
      <c r="BI646" s="180"/>
      <c r="BJ646" s="180"/>
      <c r="BK646" s="180"/>
      <c r="BL646" s="180"/>
      <c r="BM646" s="180"/>
      <c r="BN646" s="180"/>
      <c r="BO646" s="180"/>
      <c r="BP646" s="180"/>
      <c r="BQ646" s="180"/>
      <c r="BR646" s="180"/>
      <c r="BS646" s="180"/>
      <c r="BT646" s="180"/>
      <c r="BU646" s="180"/>
      <c r="BV646" s="180"/>
      <c r="BW646" s="180"/>
      <c r="BX646" s="180"/>
      <c r="BY646" s="180"/>
      <c r="BZ646" s="180"/>
      <c r="CA646" s="180"/>
      <c r="CB646" s="180"/>
      <c r="CC646" s="180"/>
      <c r="CD646" s="180"/>
      <c r="CE646" s="180"/>
      <c r="CF646" s="180"/>
      <c r="CG646" s="180"/>
      <c r="CH646" s="180"/>
      <c r="CI646" s="180"/>
      <c r="CJ646" s="180"/>
      <c r="CK646" s="180"/>
      <c r="CL646" s="180"/>
      <c r="CM646" s="180"/>
      <c r="CN646" s="180"/>
      <c r="CO646" s="180"/>
      <c r="CP646" s="180"/>
      <c r="CQ646" s="180"/>
      <c r="CR646" s="180"/>
      <c r="CS646" s="180"/>
      <c r="CT646" s="180"/>
      <c r="CU646" s="180"/>
      <c r="CV646" s="180"/>
      <c r="CW646" s="180"/>
      <c r="CX646" s="180"/>
      <c r="CY646" s="180"/>
      <c r="CZ646" s="180"/>
    </row>
    <row r="647" spans="1:104" x14ac:dyDescent="0.45">
      <c r="A647" s="180" t="s">
        <v>4</v>
      </c>
      <c r="B647" s="73">
        <v>2</v>
      </c>
      <c r="C647" s="73">
        <v>2</v>
      </c>
      <c r="D647" s="180" t="s">
        <v>271</v>
      </c>
      <c r="E647" s="39">
        <v>43593</v>
      </c>
      <c r="F647" s="179">
        <v>0.68611111111111101</v>
      </c>
      <c r="G647" s="180">
        <v>1</v>
      </c>
      <c r="H647" s="180"/>
      <c r="I647" s="180"/>
      <c r="J647" s="180"/>
      <c r="K647" s="180"/>
      <c r="L647" s="180"/>
      <c r="M647" s="180"/>
      <c r="N647" s="180"/>
      <c r="O647" s="180"/>
      <c r="P647" s="180"/>
      <c r="AS647" s="180"/>
      <c r="AT647" s="180"/>
      <c r="AU647" s="180"/>
      <c r="AV647" s="180"/>
      <c r="AW647" s="180"/>
      <c r="AX647" s="180"/>
      <c r="AY647" s="180"/>
      <c r="AZ647" s="180"/>
      <c r="BA647" s="180"/>
      <c r="BB647" s="180"/>
      <c r="BC647" s="180"/>
      <c r="BD647" s="180"/>
      <c r="BE647" s="180"/>
      <c r="BF647" s="180"/>
      <c r="BG647" s="180"/>
      <c r="BH647" s="180"/>
      <c r="BI647" s="180"/>
      <c r="BJ647" s="180"/>
      <c r="BK647" s="180"/>
      <c r="BL647" s="180"/>
      <c r="BM647" s="180"/>
      <c r="BN647" s="180"/>
      <c r="BO647" s="180"/>
      <c r="BP647" s="180"/>
      <c r="BQ647" s="180"/>
      <c r="BR647" s="180"/>
      <c r="BS647" s="180"/>
      <c r="BT647" s="180"/>
      <c r="BU647" s="180"/>
      <c r="BV647" s="180"/>
      <c r="BW647" s="180"/>
      <c r="BX647" s="180"/>
      <c r="BY647" s="180"/>
      <c r="BZ647" s="180"/>
      <c r="CA647" s="180"/>
      <c r="CB647" s="180"/>
      <c r="CC647" s="180"/>
      <c r="CD647" s="180"/>
      <c r="CE647" s="180"/>
      <c r="CF647" s="180"/>
      <c r="CG647" s="180"/>
      <c r="CH647" s="180"/>
      <c r="CI647" s="180"/>
      <c r="CJ647" s="180"/>
      <c r="CK647" s="180"/>
      <c r="CL647" s="180"/>
      <c r="CM647" s="180"/>
      <c r="CN647" s="180"/>
      <c r="CO647" s="180"/>
      <c r="CP647" s="180"/>
      <c r="CQ647" s="180"/>
      <c r="CR647" s="180"/>
      <c r="CS647" s="180"/>
      <c r="CT647" s="180"/>
      <c r="CU647" s="180"/>
      <c r="CV647" s="180"/>
      <c r="CW647" s="180"/>
      <c r="CX647" s="180"/>
      <c r="CY647" s="180"/>
      <c r="CZ647" s="180"/>
    </row>
    <row r="648" spans="1:104" x14ac:dyDescent="0.45">
      <c r="A648" s="180" t="s">
        <v>4</v>
      </c>
      <c r="B648" s="73">
        <v>1</v>
      </c>
      <c r="C648" s="73"/>
      <c r="D648" s="180" t="s">
        <v>296</v>
      </c>
      <c r="E648" s="39">
        <v>43594</v>
      </c>
      <c r="F648" s="179">
        <v>0.71458333333333324</v>
      </c>
      <c r="G648" s="180">
        <v>1</v>
      </c>
      <c r="H648" s="180"/>
      <c r="I648" s="180"/>
      <c r="J648" s="180"/>
      <c r="K648" s="180"/>
      <c r="L648" s="180"/>
      <c r="M648" s="180"/>
      <c r="N648" s="180"/>
      <c r="O648" s="180"/>
      <c r="P648" s="180"/>
      <c r="AS648" s="180"/>
      <c r="AT648" s="180"/>
      <c r="AU648" s="180"/>
      <c r="AV648" s="180"/>
      <c r="AW648" s="180"/>
      <c r="AX648" s="180"/>
      <c r="AY648" s="180"/>
      <c r="AZ648" s="180"/>
      <c r="BA648" s="180"/>
      <c r="BB648" s="180"/>
      <c r="BC648" s="180"/>
      <c r="BD648" s="180"/>
      <c r="BE648" s="180"/>
      <c r="BF648" s="180"/>
      <c r="BG648" s="180"/>
      <c r="BH648" s="180"/>
      <c r="BI648" s="180"/>
      <c r="BJ648" s="180"/>
      <c r="BK648" s="180"/>
      <c r="BL648" s="180"/>
      <c r="BM648" s="180"/>
      <c r="BN648" s="180"/>
      <c r="BO648" s="180"/>
      <c r="BP648" s="180"/>
      <c r="BQ648" s="180"/>
      <c r="BR648" s="180"/>
      <c r="BS648" s="180"/>
      <c r="BT648" s="180"/>
      <c r="BU648" s="180"/>
      <c r="BV648" s="180"/>
      <c r="BW648" s="180"/>
      <c r="BX648" s="180"/>
      <c r="BY648" s="180"/>
      <c r="BZ648" s="180"/>
      <c r="CA648" s="180"/>
      <c r="CB648" s="180"/>
      <c r="CC648" s="180"/>
      <c r="CD648" s="180"/>
      <c r="CE648" s="180"/>
      <c r="CF648" s="180"/>
      <c r="CG648" s="180"/>
      <c r="CH648" s="180"/>
      <c r="CI648" s="180"/>
      <c r="CJ648" s="180"/>
      <c r="CK648" s="180"/>
      <c r="CL648" s="180"/>
      <c r="CM648" s="180"/>
      <c r="CN648" s="180"/>
      <c r="CO648" s="180"/>
      <c r="CP648" s="180"/>
      <c r="CQ648" s="180"/>
      <c r="CR648" s="180"/>
      <c r="CS648" s="180"/>
      <c r="CT648" s="180"/>
      <c r="CU648" s="180"/>
      <c r="CV648" s="180"/>
      <c r="CW648" s="180"/>
      <c r="CX648" s="180"/>
      <c r="CY648" s="180"/>
      <c r="CZ648" s="180"/>
    </row>
    <row r="649" spans="1:104" x14ac:dyDescent="0.45">
      <c r="A649" s="180" t="s">
        <v>4</v>
      </c>
      <c r="B649" s="73">
        <v>1</v>
      </c>
      <c r="C649" s="73"/>
      <c r="D649" s="180" t="s">
        <v>296</v>
      </c>
      <c r="E649" s="39">
        <v>43594</v>
      </c>
      <c r="F649" s="179">
        <v>0.28611111111111115</v>
      </c>
      <c r="G649" s="180">
        <v>1</v>
      </c>
      <c r="H649" s="180"/>
      <c r="I649" s="180"/>
      <c r="J649" s="180"/>
      <c r="K649" s="180"/>
      <c r="L649" s="180"/>
      <c r="M649" s="180"/>
      <c r="N649" s="180"/>
      <c r="O649" s="180"/>
      <c r="P649" s="180"/>
      <c r="AS649" s="180"/>
      <c r="AT649" s="180"/>
      <c r="AU649" s="180"/>
      <c r="AV649" s="180"/>
      <c r="AW649" s="180"/>
      <c r="AX649" s="180"/>
      <c r="AY649" s="180"/>
      <c r="AZ649" s="180"/>
      <c r="BA649" s="180"/>
      <c r="BB649" s="180"/>
      <c r="BC649" s="180"/>
      <c r="BD649" s="180"/>
      <c r="BE649" s="180"/>
      <c r="BF649" s="180"/>
      <c r="BG649" s="180"/>
      <c r="BH649" s="180"/>
      <c r="BI649" s="180"/>
      <c r="BJ649" s="180"/>
      <c r="BK649" s="180"/>
      <c r="BL649" s="180"/>
      <c r="BM649" s="180"/>
      <c r="BN649" s="180"/>
      <c r="BO649" s="180"/>
      <c r="BP649" s="180"/>
      <c r="BQ649" s="180"/>
      <c r="BR649" s="180"/>
      <c r="BS649" s="180"/>
      <c r="BT649" s="180"/>
      <c r="BU649" s="180"/>
      <c r="BV649" s="180"/>
      <c r="BW649" s="180"/>
      <c r="BX649" s="180"/>
      <c r="BY649" s="180"/>
      <c r="BZ649" s="180"/>
      <c r="CA649" s="180"/>
      <c r="CB649" s="180"/>
      <c r="CC649" s="180"/>
      <c r="CD649" s="180"/>
      <c r="CE649" s="180"/>
      <c r="CF649" s="180"/>
      <c r="CG649" s="180"/>
      <c r="CH649" s="180"/>
      <c r="CI649" s="180"/>
      <c r="CJ649" s="180"/>
      <c r="CK649" s="180"/>
      <c r="CL649" s="180"/>
      <c r="CM649" s="180"/>
      <c r="CN649" s="180"/>
      <c r="CO649" s="180"/>
      <c r="CP649" s="180"/>
      <c r="CQ649" s="180"/>
      <c r="CR649" s="180"/>
      <c r="CS649" s="180"/>
      <c r="CT649" s="180"/>
      <c r="CU649" s="180"/>
      <c r="CV649" s="180"/>
      <c r="CW649" s="180"/>
      <c r="CX649" s="180"/>
      <c r="CY649" s="180"/>
      <c r="CZ649" s="180"/>
    </row>
    <row r="650" spans="1:104" x14ac:dyDescent="0.45">
      <c r="A650" s="180" t="s">
        <v>4</v>
      </c>
      <c r="B650" s="73">
        <v>2</v>
      </c>
      <c r="C650" s="73"/>
      <c r="D650" s="180" t="s">
        <v>359</v>
      </c>
      <c r="E650" s="39">
        <v>43594</v>
      </c>
      <c r="F650" s="179">
        <v>0.75</v>
      </c>
      <c r="G650" s="180">
        <v>2</v>
      </c>
      <c r="H650" s="180"/>
      <c r="I650" s="180"/>
      <c r="J650" s="180"/>
      <c r="K650" s="180"/>
      <c r="L650" s="180"/>
      <c r="M650" s="180"/>
      <c r="N650" s="180"/>
      <c r="O650" s="180"/>
      <c r="P650" s="180"/>
      <c r="AS650" s="180"/>
      <c r="AT650" s="180"/>
      <c r="AU650" s="180"/>
      <c r="AV650" s="180"/>
      <c r="AW650" s="180"/>
      <c r="AX650" s="180"/>
      <c r="AY650" s="180"/>
      <c r="AZ650" s="180"/>
      <c r="BA650" s="180"/>
      <c r="BB650" s="180"/>
      <c r="BC650" s="180"/>
      <c r="BD650" s="180"/>
      <c r="BE650" s="180"/>
      <c r="BF650" s="180"/>
      <c r="BG650" s="180"/>
      <c r="BH650" s="180"/>
      <c r="BI650" s="180"/>
      <c r="BJ650" s="180"/>
      <c r="BK650" s="180"/>
      <c r="BL650" s="180"/>
      <c r="BM650" s="180"/>
      <c r="BN650" s="180"/>
      <c r="BO650" s="180"/>
      <c r="BP650" s="180"/>
      <c r="BQ650" s="180"/>
      <c r="BR650" s="180"/>
      <c r="BS650" s="180"/>
      <c r="BT650" s="180"/>
      <c r="BU650" s="180"/>
      <c r="BV650" s="180"/>
      <c r="BW650" s="180"/>
      <c r="BX650" s="180"/>
      <c r="BY650" s="180"/>
      <c r="BZ650" s="180"/>
      <c r="CA650" s="180"/>
      <c r="CB650" s="180"/>
      <c r="CC650" s="180"/>
      <c r="CD650" s="180"/>
      <c r="CE650" s="180"/>
      <c r="CF650" s="180"/>
      <c r="CG650" s="180"/>
      <c r="CH650" s="180"/>
      <c r="CI650" s="180"/>
      <c r="CJ650" s="180"/>
      <c r="CK650" s="180"/>
      <c r="CL650" s="180"/>
      <c r="CM650" s="180"/>
      <c r="CN650" s="180"/>
      <c r="CO650" s="180"/>
      <c r="CP650" s="180"/>
      <c r="CQ650" s="180"/>
      <c r="CR650" s="180"/>
      <c r="CS650" s="180"/>
      <c r="CT650" s="180"/>
      <c r="CU650" s="180"/>
      <c r="CV650" s="180"/>
      <c r="CW650" s="180"/>
      <c r="CX650" s="180"/>
      <c r="CY650" s="180"/>
      <c r="CZ650" s="180"/>
    </row>
    <row r="651" spans="1:104" x14ac:dyDescent="0.45">
      <c r="A651" s="180" t="s">
        <v>4</v>
      </c>
      <c r="B651" s="73">
        <v>1</v>
      </c>
      <c r="C651" s="73"/>
      <c r="D651" s="180" t="s">
        <v>378</v>
      </c>
      <c r="E651" s="39">
        <v>43595</v>
      </c>
      <c r="F651" s="179">
        <v>0.72916666666666663</v>
      </c>
      <c r="G651" s="180">
        <v>3</v>
      </c>
      <c r="H651" s="180"/>
      <c r="I651" s="180"/>
      <c r="J651" s="180"/>
      <c r="K651" s="180"/>
      <c r="L651" s="180"/>
      <c r="M651" s="180"/>
      <c r="N651" s="180"/>
      <c r="O651" s="180"/>
      <c r="P651" s="180"/>
      <c r="AS651" s="180"/>
      <c r="AT651" s="180"/>
      <c r="AU651" s="180"/>
      <c r="AV651" s="180"/>
      <c r="AW651" s="180"/>
      <c r="AX651" s="180"/>
      <c r="AY651" s="180"/>
      <c r="AZ651" s="180"/>
      <c r="BA651" s="180"/>
      <c r="BB651" s="180"/>
      <c r="BC651" s="180"/>
      <c r="BD651" s="180"/>
      <c r="BE651" s="180"/>
      <c r="BF651" s="180"/>
      <c r="BG651" s="180"/>
      <c r="BH651" s="180"/>
      <c r="BI651" s="180"/>
      <c r="BJ651" s="180"/>
      <c r="BK651" s="180"/>
      <c r="BL651" s="180"/>
      <c r="BM651" s="180"/>
      <c r="BN651" s="180"/>
      <c r="BO651" s="180"/>
      <c r="BP651" s="180"/>
      <c r="BQ651" s="180"/>
      <c r="BR651" s="180"/>
      <c r="BS651" s="180"/>
      <c r="BT651" s="180"/>
      <c r="BU651" s="180"/>
      <c r="BV651" s="180"/>
      <c r="BW651" s="180"/>
      <c r="BX651" s="180"/>
      <c r="BY651" s="180"/>
      <c r="BZ651" s="180"/>
      <c r="CA651" s="180"/>
      <c r="CB651" s="180"/>
      <c r="CC651" s="180"/>
      <c r="CD651" s="180"/>
      <c r="CE651" s="180"/>
      <c r="CF651" s="180"/>
      <c r="CG651" s="180"/>
      <c r="CH651" s="180"/>
      <c r="CI651" s="180"/>
      <c r="CJ651" s="180"/>
      <c r="CK651" s="180"/>
      <c r="CL651" s="180"/>
      <c r="CM651" s="180"/>
      <c r="CN651" s="180"/>
      <c r="CO651" s="180"/>
      <c r="CP651" s="180"/>
      <c r="CQ651" s="180"/>
      <c r="CR651" s="180"/>
      <c r="CS651" s="180"/>
      <c r="CT651" s="180"/>
      <c r="CU651" s="180"/>
      <c r="CV651" s="180"/>
      <c r="CW651" s="180"/>
      <c r="CX651" s="180"/>
      <c r="CY651" s="180"/>
      <c r="CZ651" s="180"/>
    </row>
    <row r="652" spans="1:104" x14ac:dyDescent="0.45">
      <c r="A652" s="180" t="s">
        <v>4</v>
      </c>
      <c r="B652" s="73">
        <v>1</v>
      </c>
      <c r="C652" s="73">
        <v>1</v>
      </c>
      <c r="D652" s="180" t="s">
        <v>296</v>
      </c>
      <c r="E652" s="39">
        <v>43595</v>
      </c>
      <c r="F652" s="179">
        <v>0.75</v>
      </c>
      <c r="G652" s="180">
        <v>1</v>
      </c>
      <c r="H652" s="180"/>
      <c r="I652" s="180"/>
      <c r="J652" s="180"/>
      <c r="K652" s="180"/>
      <c r="L652" s="180"/>
      <c r="M652" s="180"/>
      <c r="N652" s="180"/>
      <c r="O652" s="180"/>
      <c r="P652" s="180"/>
      <c r="AS652" s="180"/>
      <c r="AT652" s="180"/>
      <c r="AU652" s="180"/>
      <c r="AV652" s="180"/>
      <c r="AW652" s="180"/>
      <c r="AX652" s="180"/>
      <c r="AY652" s="180"/>
      <c r="AZ652" s="180"/>
      <c r="BA652" s="180"/>
      <c r="BB652" s="180"/>
      <c r="BC652" s="180"/>
      <c r="BD652" s="180"/>
      <c r="BE652" s="180"/>
      <c r="BF652" s="180"/>
      <c r="BG652" s="180"/>
      <c r="BH652" s="180"/>
      <c r="BI652" s="180"/>
      <c r="BJ652" s="180"/>
      <c r="BK652" s="180"/>
      <c r="BL652" s="180"/>
      <c r="BM652" s="180"/>
      <c r="BN652" s="180"/>
      <c r="BO652" s="180"/>
      <c r="BP652" s="180"/>
      <c r="BQ652" s="180"/>
      <c r="BR652" s="180"/>
      <c r="BS652" s="180"/>
      <c r="BT652" s="180"/>
      <c r="BU652" s="180"/>
      <c r="BV652" s="180"/>
      <c r="BW652" s="180"/>
      <c r="BX652" s="180"/>
      <c r="BY652" s="180"/>
      <c r="BZ652" s="180"/>
      <c r="CA652" s="180"/>
      <c r="CB652" s="180"/>
      <c r="CC652" s="180"/>
      <c r="CD652" s="180"/>
      <c r="CE652" s="180"/>
      <c r="CF652" s="180"/>
      <c r="CG652" s="180"/>
      <c r="CH652" s="180"/>
      <c r="CI652" s="180"/>
      <c r="CJ652" s="180"/>
      <c r="CK652" s="180"/>
      <c r="CL652" s="180"/>
      <c r="CM652" s="180"/>
      <c r="CN652" s="180"/>
      <c r="CO652" s="180"/>
      <c r="CP652" s="180"/>
      <c r="CQ652" s="180"/>
      <c r="CR652" s="180"/>
      <c r="CS652" s="180"/>
      <c r="CT652" s="180"/>
      <c r="CU652" s="180"/>
      <c r="CV652" s="180"/>
      <c r="CW652" s="180"/>
      <c r="CX652" s="180"/>
      <c r="CY652" s="180"/>
      <c r="CZ652" s="180"/>
    </row>
    <row r="653" spans="1:104" x14ac:dyDescent="0.45">
      <c r="A653" s="180" t="s">
        <v>4</v>
      </c>
      <c r="B653" s="73">
        <v>1</v>
      </c>
      <c r="C653" s="73"/>
      <c r="D653" s="180" t="s">
        <v>296</v>
      </c>
      <c r="E653" s="39">
        <v>43595</v>
      </c>
      <c r="F653" s="179">
        <v>0.76874999999999993</v>
      </c>
      <c r="G653" s="180">
        <v>1</v>
      </c>
      <c r="H653" s="180"/>
      <c r="I653" s="180"/>
      <c r="J653" s="180"/>
      <c r="K653" s="180"/>
      <c r="L653" s="180"/>
      <c r="M653" s="180"/>
      <c r="N653" s="180"/>
      <c r="O653" s="180"/>
      <c r="P653" s="180"/>
      <c r="AS653" s="180"/>
      <c r="AT653" s="180"/>
      <c r="AU653" s="180"/>
      <c r="AV653" s="180"/>
      <c r="AW653" s="180"/>
      <c r="AX653" s="180"/>
      <c r="AY653" s="180"/>
      <c r="AZ653" s="180"/>
      <c r="BA653" s="180"/>
      <c r="BB653" s="180"/>
      <c r="BC653" s="180"/>
      <c r="BD653" s="180"/>
      <c r="BE653" s="180"/>
      <c r="BF653" s="180"/>
      <c r="BG653" s="180"/>
      <c r="BH653" s="180"/>
      <c r="BI653" s="180"/>
      <c r="BJ653" s="180"/>
      <c r="BK653" s="180"/>
      <c r="BL653" s="180"/>
      <c r="BM653" s="180"/>
      <c r="BN653" s="180"/>
      <c r="BO653" s="180"/>
      <c r="BP653" s="180"/>
      <c r="BQ653" s="180"/>
      <c r="BR653" s="180"/>
      <c r="BS653" s="180"/>
      <c r="BT653" s="180"/>
      <c r="BU653" s="180"/>
      <c r="BV653" s="180"/>
      <c r="BW653" s="180"/>
      <c r="BX653" s="180"/>
      <c r="BY653" s="180"/>
      <c r="BZ653" s="180"/>
      <c r="CA653" s="180"/>
      <c r="CB653" s="180"/>
      <c r="CC653" s="180"/>
      <c r="CD653" s="180"/>
      <c r="CE653" s="180"/>
      <c r="CF653" s="180"/>
      <c r="CG653" s="180"/>
      <c r="CH653" s="180"/>
      <c r="CI653" s="180"/>
      <c r="CJ653" s="180"/>
      <c r="CK653" s="180"/>
      <c r="CL653" s="180"/>
      <c r="CM653" s="180"/>
      <c r="CN653" s="180"/>
      <c r="CO653" s="180"/>
      <c r="CP653" s="180"/>
      <c r="CQ653" s="180"/>
      <c r="CR653" s="180"/>
      <c r="CS653" s="180"/>
      <c r="CT653" s="180"/>
      <c r="CU653" s="180"/>
      <c r="CV653" s="180"/>
      <c r="CW653" s="180"/>
      <c r="CX653" s="180"/>
      <c r="CY653" s="180"/>
      <c r="CZ653" s="180"/>
    </row>
    <row r="654" spans="1:104" x14ac:dyDescent="0.45">
      <c r="A654" s="180" t="s">
        <v>4</v>
      </c>
      <c r="B654" s="73">
        <v>1</v>
      </c>
      <c r="C654" s="73"/>
      <c r="D654" s="180" t="s">
        <v>296</v>
      </c>
      <c r="E654" s="39">
        <v>43595</v>
      </c>
      <c r="F654" s="179">
        <v>0.67569444444444438</v>
      </c>
      <c r="G654" s="180">
        <v>1</v>
      </c>
      <c r="H654" s="180" t="s">
        <v>480</v>
      </c>
      <c r="I654" s="180"/>
      <c r="J654" s="180"/>
      <c r="K654" s="180"/>
      <c r="L654" s="180"/>
      <c r="M654" s="180"/>
      <c r="N654" s="180"/>
      <c r="O654" s="180"/>
      <c r="P654" s="180"/>
      <c r="AS654" s="180"/>
      <c r="AT654" s="180"/>
      <c r="AU654" s="180"/>
      <c r="AV654" s="180"/>
      <c r="AW654" s="180"/>
      <c r="AX654" s="180"/>
      <c r="AY654" s="180"/>
      <c r="AZ654" s="180"/>
      <c r="BA654" s="180"/>
      <c r="BB654" s="180"/>
      <c r="BC654" s="180"/>
      <c r="BD654" s="180"/>
      <c r="BE654" s="180"/>
      <c r="BF654" s="180"/>
      <c r="BG654" s="180"/>
      <c r="BH654" s="180"/>
      <c r="BI654" s="180"/>
      <c r="BJ654" s="180"/>
      <c r="BK654" s="180"/>
      <c r="BL654" s="180"/>
      <c r="BM654" s="180"/>
      <c r="BN654" s="180"/>
      <c r="BO654" s="180"/>
      <c r="BP654" s="180"/>
      <c r="BQ654" s="180"/>
      <c r="BR654" s="180"/>
      <c r="BS654" s="180"/>
      <c r="BT654" s="180"/>
      <c r="BU654" s="180"/>
      <c r="BV654" s="180"/>
      <c r="BW654" s="180"/>
      <c r="BX654" s="180"/>
      <c r="BY654" s="180"/>
      <c r="BZ654" s="180"/>
      <c r="CA654" s="180"/>
      <c r="CB654" s="180"/>
      <c r="CC654" s="180"/>
      <c r="CD654" s="180"/>
      <c r="CE654" s="180"/>
      <c r="CF654" s="180"/>
      <c r="CG654" s="180"/>
      <c r="CH654" s="180"/>
      <c r="CI654" s="180"/>
      <c r="CJ654" s="180"/>
      <c r="CK654" s="180"/>
      <c r="CL654" s="180"/>
      <c r="CM654" s="180"/>
      <c r="CN654" s="180"/>
      <c r="CO654" s="180"/>
      <c r="CP654" s="180"/>
      <c r="CQ654" s="180"/>
      <c r="CR654" s="180"/>
      <c r="CS654" s="180"/>
      <c r="CT654" s="180"/>
      <c r="CU654" s="180"/>
      <c r="CV654" s="180"/>
      <c r="CW654" s="180"/>
      <c r="CX654" s="180"/>
      <c r="CY654" s="180"/>
      <c r="CZ654" s="180"/>
    </row>
    <row r="655" spans="1:104" x14ac:dyDescent="0.45">
      <c r="A655" s="180" t="s">
        <v>4</v>
      </c>
      <c r="B655" s="73">
        <v>2</v>
      </c>
      <c r="C655" s="73"/>
      <c r="D655" s="180" t="s">
        <v>296</v>
      </c>
      <c r="E655" s="39">
        <v>43595</v>
      </c>
      <c r="F655" s="180"/>
      <c r="G655" s="180"/>
      <c r="H655" s="180"/>
      <c r="I655" s="180"/>
      <c r="J655" s="180"/>
      <c r="K655" s="180"/>
      <c r="L655" s="180"/>
      <c r="M655" s="180"/>
      <c r="N655" s="180"/>
      <c r="O655" s="180"/>
      <c r="P655" s="180"/>
      <c r="AS655" s="180"/>
      <c r="AT655" s="180"/>
      <c r="AU655" s="180"/>
      <c r="AV655" s="180"/>
      <c r="AW655" s="180"/>
      <c r="AX655" s="180"/>
      <c r="AY655" s="180"/>
      <c r="AZ655" s="180"/>
      <c r="BA655" s="180"/>
      <c r="BB655" s="180"/>
      <c r="BC655" s="180"/>
      <c r="BD655" s="180"/>
      <c r="BE655" s="180"/>
      <c r="BF655" s="180"/>
      <c r="BG655" s="180"/>
      <c r="BH655" s="180"/>
      <c r="BI655" s="180"/>
      <c r="BJ655" s="180"/>
      <c r="BK655" s="180"/>
      <c r="BL655" s="180"/>
      <c r="BM655" s="180"/>
      <c r="BN655" s="180"/>
      <c r="BO655" s="180"/>
      <c r="BP655" s="180"/>
      <c r="BQ655" s="180"/>
      <c r="BR655" s="180"/>
      <c r="BS655" s="180"/>
      <c r="BT655" s="180"/>
      <c r="BU655" s="180"/>
      <c r="BV655" s="180"/>
      <c r="BW655" s="180"/>
      <c r="BX655" s="180"/>
      <c r="BY655" s="180"/>
      <c r="BZ655" s="180"/>
      <c r="CA655" s="180"/>
      <c r="CB655" s="180"/>
      <c r="CC655" s="180"/>
      <c r="CD655" s="180"/>
      <c r="CE655" s="180"/>
      <c r="CF655" s="180"/>
      <c r="CG655" s="180"/>
      <c r="CH655" s="180"/>
      <c r="CI655" s="180"/>
      <c r="CJ655" s="180"/>
      <c r="CK655" s="180"/>
      <c r="CL655" s="180"/>
      <c r="CM655" s="180"/>
      <c r="CN655" s="180"/>
      <c r="CO655" s="180"/>
      <c r="CP655" s="180"/>
      <c r="CQ655" s="180"/>
      <c r="CR655" s="180"/>
      <c r="CS655" s="180"/>
      <c r="CT655" s="180"/>
      <c r="CU655" s="180"/>
      <c r="CV655" s="180"/>
      <c r="CW655" s="180"/>
      <c r="CX655" s="180"/>
      <c r="CY655" s="180"/>
      <c r="CZ655" s="180"/>
    </row>
    <row r="656" spans="1:104" x14ac:dyDescent="0.45">
      <c r="A656" s="180" t="s">
        <v>4</v>
      </c>
      <c r="B656" s="73">
        <v>1</v>
      </c>
      <c r="C656" s="73"/>
      <c r="D656" s="180" t="s">
        <v>376</v>
      </c>
      <c r="E656" s="39">
        <v>43596</v>
      </c>
      <c r="F656" s="179">
        <v>0.72083333333333333</v>
      </c>
      <c r="G656" s="180">
        <v>3</v>
      </c>
      <c r="H656" s="180"/>
      <c r="I656" s="180"/>
      <c r="J656" s="180"/>
      <c r="K656" s="180"/>
      <c r="L656" s="180"/>
      <c r="M656" s="180"/>
      <c r="N656" s="180"/>
      <c r="O656" s="180"/>
      <c r="P656" s="180"/>
      <c r="AS656" s="180"/>
      <c r="AT656" s="180"/>
      <c r="AU656" s="180"/>
      <c r="AV656" s="180"/>
      <c r="AW656" s="180"/>
      <c r="AX656" s="180"/>
      <c r="AY656" s="180"/>
      <c r="AZ656" s="180"/>
      <c r="BA656" s="180"/>
      <c r="BB656" s="180"/>
      <c r="BC656" s="180"/>
      <c r="BD656" s="180"/>
      <c r="BE656" s="180"/>
      <c r="BF656" s="180"/>
      <c r="BG656" s="180"/>
      <c r="BH656" s="180"/>
      <c r="BI656" s="180"/>
      <c r="BJ656" s="180"/>
      <c r="BK656" s="180"/>
      <c r="BL656" s="180"/>
      <c r="BM656" s="180"/>
      <c r="BN656" s="180"/>
      <c r="BO656" s="180"/>
      <c r="BP656" s="180"/>
      <c r="BQ656" s="180"/>
      <c r="BR656" s="180"/>
      <c r="BS656" s="180"/>
      <c r="BT656" s="180"/>
      <c r="BU656" s="180"/>
      <c r="BV656" s="180"/>
      <c r="BW656" s="180"/>
      <c r="BX656" s="180"/>
      <c r="BY656" s="180"/>
      <c r="BZ656" s="180"/>
      <c r="CA656" s="180"/>
      <c r="CB656" s="180"/>
      <c r="CC656" s="180"/>
      <c r="CD656" s="180"/>
      <c r="CE656" s="180"/>
      <c r="CF656" s="180"/>
      <c r="CG656" s="180"/>
      <c r="CH656" s="180"/>
      <c r="CI656" s="180"/>
      <c r="CJ656" s="180"/>
      <c r="CK656" s="180"/>
      <c r="CL656" s="180"/>
      <c r="CM656" s="180"/>
      <c r="CN656" s="180"/>
      <c r="CO656" s="180"/>
      <c r="CP656" s="180"/>
      <c r="CQ656" s="180"/>
      <c r="CR656" s="180"/>
      <c r="CS656" s="180"/>
      <c r="CT656" s="180"/>
      <c r="CU656" s="180"/>
      <c r="CV656" s="180"/>
      <c r="CW656" s="180"/>
      <c r="CX656" s="180"/>
      <c r="CY656" s="180"/>
      <c r="CZ656" s="180"/>
    </row>
    <row r="657" spans="1:104" x14ac:dyDescent="0.45">
      <c r="A657" s="180" t="s">
        <v>4</v>
      </c>
      <c r="B657" s="73">
        <v>1</v>
      </c>
      <c r="C657" s="73">
        <v>1</v>
      </c>
      <c r="D657" s="180" t="s">
        <v>296</v>
      </c>
      <c r="E657" s="39">
        <v>43596</v>
      </c>
      <c r="F657" s="179">
        <v>0.30694444444444441</v>
      </c>
      <c r="G657" s="180">
        <v>1</v>
      </c>
      <c r="H657" s="180" t="s">
        <v>481</v>
      </c>
      <c r="I657" s="180"/>
      <c r="J657" s="180"/>
      <c r="K657" s="180"/>
      <c r="L657" s="180"/>
      <c r="M657" s="180"/>
      <c r="N657" s="180"/>
      <c r="O657" s="180"/>
      <c r="P657" s="180"/>
      <c r="AS657" s="180"/>
      <c r="AT657" s="180"/>
      <c r="AU657" s="180"/>
      <c r="AV657" s="180"/>
      <c r="AW657" s="180"/>
      <c r="AX657" s="180"/>
      <c r="AY657" s="180"/>
      <c r="AZ657" s="180"/>
      <c r="BA657" s="180"/>
      <c r="BB657" s="180"/>
      <c r="BC657" s="180"/>
      <c r="BD657" s="180"/>
      <c r="BE657" s="180"/>
      <c r="BF657" s="180"/>
      <c r="BG657" s="180"/>
      <c r="BH657" s="180"/>
      <c r="BI657" s="180"/>
      <c r="BJ657" s="180"/>
      <c r="BK657" s="180"/>
      <c r="BL657" s="180"/>
      <c r="BM657" s="180"/>
      <c r="BN657" s="180"/>
      <c r="BO657" s="180"/>
      <c r="BP657" s="180"/>
      <c r="BQ657" s="180"/>
      <c r="BR657" s="180"/>
      <c r="BS657" s="180"/>
      <c r="BT657" s="180"/>
      <c r="BU657" s="180"/>
      <c r="BV657" s="180"/>
      <c r="BW657" s="180"/>
      <c r="BX657" s="180"/>
      <c r="BY657" s="180"/>
      <c r="BZ657" s="180"/>
      <c r="CA657" s="180"/>
      <c r="CB657" s="180"/>
      <c r="CC657" s="180"/>
      <c r="CD657" s="180"/>
      <c r="CE657" s="180"/>
      <c r="CF657" s="180"/>
      <c r="CG657" s="180"/>
      <c r="CH657" s="180"/>
      <c r="CI657" s="180"/>
      <c r="CJ657" s="180"/>
      <c r="CK657" s="180"/>
      <c r="CL657" s="180"/>
      <c r="CM657" s="180"/>
      <c r="CN657" s="180"/>
      <c r="CO657" s="180"/>
      <c r="CP657" s="180"/>
      <c r="CQ657" s="180"/>
      <c r="CR657" s="180"/>
      <c r="CS657" s="180"/>
      <c r="CT657" s="180"/>
      <c r="CU657" s="180"/>
      <c r="CV657" s="180"/>
      <c r="CW657" s="180"/>
      <c r="CX657" s="180"/>
      <c r="CY657" s="180"/>
      <c r="CZ657" s="180"/>
    </row>
    <row r="658" spans="1:104" x14ac:dyDescent="0.45">
      <c r="A658" s="180" t="s">
        <v>4</v>
      </c>
      <c r="B658" s="73">
        <v>5</v>
      </c>
      <c r="C658" s="73">
        <v>5</v>
      </c>
      <c r="D658" s="180" t="s">
        <v>271</v>
      </c>
      <c r="E658" s="39">
        <v>43596</v>
      </c>
      <c r="F658" s="179">
        <v>0.72499999999999998</v>
      </c>
      <c r="G658" s="180">
        <v>1</v>
      </c>
      <c r="H658" s="180"/>
      <c r="I658" s="180"/>
      <c r="J658" s="180"/>
      <c r="K658" s="180"/>
      <c r="L658" s="180"/>
      <c r="M658" s="180"/>
      <c r="N658" s="180"/>
      <c r="O658" s="180"/>
      <c r="P658" s="180"/>
      <c r="AS658" s="180"/>
      <c r="AT658" s="180"/>
      <c r="AU658" s="180"/>
      <c r="AV658" s="180"/>
      <c r="AW658" s="180"/>
      <c r="AX658" s="180"/>
      <c r="AY658" s="180"/>
      <c r="AZ658" s="180"/>
      <c r="BA658" s="180"/>
      <c r="BB658" s="180"/>
      <c r="BC658" s="180"/>
      <c r="BD658" s="180"/>
      <c r="BE658" s="180"/>
      <c r="BF658" s="180"/>
      <c r="BG658" s="180"/>
      <c r="BH658" s="180"/>
      <c r="BI658" s="180"/>
      <c r="BJ658" s="180"/>
      <c r="BK658" s="180"/>
      <c r="BL658" s="180"/>
      <c r="BM658" s="180"/>
      <c r="BN658" s="180"/>
      <c r="BO658" s="180"/>
      <c r="BP658" s="180"/>
      <c r="BQ658" s="180"/>
      <c r="BR658" s="180"/>
      <c r="BS658" s="180"/>
      <c r="BT658" s="180"/>
      <c r="BU658" s="180"/>
      <c r="BV658" s="180"/>
      <c r="BW658" s="180"/>
      <c r="BX658" s="180"/>
      <c r="BY658" s="180"/>
      <c r="BZ658" s="180"/>
      <c r="CA658" s="180"/>
      <c r="CB658" s="180"/>
      <c r="CC658" s="180"/>
      <c r="CD658" s="180"/>
      <c r="CE658" s="180"/>
      <c r="CF658" s="180"/>
      <c r="CG658" s="180"/>
      <c r="CH658" s="180"/>
      <c r="CI658" s="180"/>
      <c r="CJ658" s="180"/>
      <c r="CK658" s="180"/>
      <c r="CL658" s="180"/>
      <c r="CM658" s="180"/>
      <c r="CN658" s="180"/>
      <c r="CO658" s="180"/>
      <c r="CP658" s="180"/>
      <c r="CQ658" s="180"/>
      <c r="CR658" s="180"/>
      <c r="CS658" s="180"/>
      <c r="CT658" s="180"/>
      <c r="CU658" s="180"/>
      <c r="CV658" s="180"/>
      <c r="CW658" s="180"/>
      <c r="CX658" s="180"/>
      <c r="CY658" s="180"/>
      <c r="CZ658" s="180"/>
    </row>
    <row r="659" spans="1:104" x14ac:dyDescent="0.45">
      <c r="A659" s="180" t="s">
        <v>4</v>
      </c>
      <c r="B659" s="73">
        <v>1</v>
      </c>
      <c r="C659" s="73"/>
      <c r="D659" s="180" t="s">
        <v>425</v>
      </c>
      <c r="E659" s="39">
        <v>43597</v>
      </c>
      <c r="F659" s="179">
        <v>0.72569444444444453</v>
      </c>
      <c r="G659" s="180">
        <v>6</v>
      </c>
      <c r="H659" s="180" t="s">
        <v>447</v>
      </c>
      <c r="I659" s="180"/>
      <c r="J659" s="180"/>
      <c r="K659" s="180"/>
      <c r="L659" s="180"/>
      <c r="M659" s="180"/>
      <c r="N659" s="180"/>
      <c r="O659" s="180"/>
      <c r="P659" s="180"/>
      <c r="AS659" s="180"/>
      <c r="AT659" s="180"/>
      <c r="AU659" s="180"/>
      <c r="AV659" s="180"/>
      <c r="AW659" s="180"/>
      <c r="AX659" s="180"/>
      <c r="AY659" s="180"/>
      <c r="AZ659" s="180"/>
      <c r="BA659" s="180"/>
      <c r="BB659" s="180"/>
      <c r="BC659" s="180"/>
      <c r="BD659" s="180"/>
      <c r="BE659" s="180"/>
      <c r="BF659" s="180"/>
      <c r="BG659" s="180"/>
      <c r="BH659" s="180"/>
      <c r="BI659" s="180"/>
      <c r="BJ659" s="180"/>
      <c r="BK659" s="180"/>
      <c r="BL659" s="180"/>
      <c r="BM659" s="180"/>
      <c r="BN659" s="180"/>
      <c r="BO659" s="180"/>
      <c r="BP659" s="180"/>
      <c r="BQ659" s="180"/>
      <c r="BR659" s="180"/>
      <c r="BS659" s="180"/>
      <c r="BT659" s="180"/>
      <c r="BU659" s="180"/>
      <c r="BV659" s="180"/>
      <c r="BW659" s="180"/>
      <c r="BX659" s="180"/>
      <c r="BY659" s="180"/>
      <c r="BZ659" s="180"/>
      <c r="CA659" s="180"/>
      <c r="CB659" s="180"/>
      <c r="CC659" s="180"/>
      <c r="CD659" s="180"/>
      <c r="CE659" s="180"/>
      <c r="CF659" s="180"/>
      <c r="CG659" s="180"/>
      <c r="CH659" s="180"/>
      <c r="CI659" s="180"/>
      <c r="CJ659" s="180"/>
      <c r="CK659" s="180"/>
      <c r="CL659" s="180"/>
      <c r="CM659" s="180"/>
      <c r="CN659" s="180"/>
      <c r="CO659" s="180"/>
      <c r="CP659" s="180"/>
      <c r="CQ659" s="180"/>
      <c r="CR659" s="180"/>
      <c r="CS659" s="180"/>
      <c r="CT659" s="180"/>
      <c r="CU659" s="180"/>
      <c r="CV659" s="180"/>
      <c r="CW659" s="180"/>
      <c r="CX659" s="180"/>
      <c r="CY659" s="180"/>
      <c r="CZ659" s="180"/>
    </row>
    <row r="660" spans="1:104" x14ac:dyDescent="0.45">
      <c r="A660" s="180" t="s">
        <v>4</v>
      </c>
      <c r="B660" s="73">
        <v>1</v>
      </c>
      <c r="C660" s="73"/>
      <c r="D660" s="180" t="s">
        <v>296</v>
      </c>
      <c r="E660" s="39">
        <v>43597</v>
      </c>
      <c r="F660" s="179">
        <v>0.31944444444444448</v>
      </c>
      <c r="G660" s="180">
        <v>1</v>
      </c>
      <c r="H660" s="180" t="s">
        <v>448</v>
      </c>
      <c r="I660" s="180"/>
      <c r="J660" s="180"/>
      <c r="K660" s="180"/>
      <c r="L660" s="180"/>
      <c r="M660" s="180"/>
      <c r="N660" s="180"/>
      <c r="O660" s="180"/>
      <c r="P660" s="180"/>
      <c r="AS660" s="180"/>
      <c r="AT660" s="180"/>
      <c r="AU660" s="180"/>
      <c r="AV660" s="180"/>
      <c r="AW660" s="180"/>
      <c r="AX660" s="180"/>
      <c r="AY660" s="180"/>
      <c r="AZ660" s="180"/>
      <c r="BA660" s="180"/>
      <c r="BB660" s="180"/>
      <c r="BC660" s="180"/>
      <c r="BD660" s="180"/>
      <c r="BE660" s="180"/>
      <c r="BF660" s="180"/>
      <c r="BG660" s="180"/>
      <c r="BH660" s="180"/>
      <c r="BI660" s="180"/>
      <c r="BJ660" s="180"/>
      <c r="BK660" s="180"/>
      <c r="BL660" s="180"/>
      <c r="BM660" s="180"/>
      <c r="BN660" s="180"/>
      <c r="BO660" s="180"/>
      <c r="BP660" s="180"/>
      <c r="BQ660" s="180"/>
      <c r="BR660" s="180"/>
      <c r="BS660" s="180"/>
      <c r="BT660" s="180"/>
      <c r="BU660" s="180"/>
      <c r="BV660" s="180"/>
      <c r="BW660" s="180"/>
      <c r="BX660" s="180"/>
      <c r="BY660" s="180"/>
      <c r="BZ660" s="180"/>
      <c r="CA660" s="180"/>
      <c r="CB660" s="180"/>
      <c r="CC660" s="180"/>
      <c r="CD660" s="180"/>
      <c r="CE660" s="180"/>
      <c r="CF660" s="180"/>
      <c r="CG660" s="180"/>
      <c r="CH660" s="180"/>
      <c r="CI660" s="180"/>
      <c r="CJ660" s="180"/>
      <c r="CK660" s="180"/>
      <c r="CL660" s="180"/>
      <c r="CM660" s="180"/>
      <c r="CN660" s="180"/>
      <c r="CO660" s="180"/>
      <c r="CP660" s="180"/>
      <c r="CQ660" s="180"/>
      <c r="CR660" s="180"/>
      <c r="CS660" s="180"/>
      <c r="CT660" s="180"/>
      <c r="CU660" s="180"/>
      <c r="CV660" s="180"/>
      <c r="CW660" s="180"/>
      <c r="CX660" s="180"/>
      <c r="CY660" s="180"/>
      <c r="CZ660" s="180"/>
    </row>
    <row r="661" spans="1:104" x14ac:dyDescent="0.45">
      <c r="A661" s="180" t="s">
        <v>4</v>
      </c>
      <c r="B661" s="73">
        <v>2</v>
      </c>
      <c r="C661" s="73">
        <v>2</v>
      </c>
      <c r="D661" s="180" t="s">
        <v>296</v>
      </c>
      <c r="E661" s="39">
        <v>43597</v>
      </c>
      <c r="F661" s="179">
        <v>0.27361111111111108</v>
      </c>
      <c r="G661" s="180">
        <v>6</v>
      </c>
      <c r="H661" s="180" t="s">
        <v>297</v>
      </c>
      <c r="I661" s="180"/>
      <c r="J661" s="180"/>
      <c r="K661" s="180"/>
      <c r="L661" s="180"/>
      <c r="M661" s="180"/>
      <c r="N661" s="180"/>
      <c r="O661" s="180"/>
      <c r="P661" s="180"/>
      <c r="AS661" s="180"/>
      <c r="AT661" s="180"/>
      <c r="AU661" s="180"/>
      <c r="AV661" s="180"/>
      <c r="AW661" s="180"/>
      <c r="AX661" s="180"/>
      <c r="AY661" s="180"/>
      <c r="AZ661" s="180"/>
      <c r="BA661" s="180"/>
      <c r="BB661" s="180"/>
      <c r="BC661" s="180"/>
      <c r="BD661" s="180"/>
      <c r="BE661" s="180"/>
      <c r="BF661" s="180"/>
      <c r="BG661" s="180"/>
      <c r="BH661" s="180"/>
      <c r="BI661" s="180"/>
      <c r="BJ661" s="180"/>
      <c r="BK661" s="180"/>
      <c r="BL661" s="180"/>
      <c r="BM661" s="180"/>
      <c r="BN661" s="180"/>
      <c r="BO661" s="180"/>
      <c r="BP661" s="180"/>
      <c r="BQ661" s="180"/>
      <c r="BR661" s="180"/>
      <c r="BS661" s="180"/>
      <c r="BT661" s="180"/>
      <c r="BU661" s="180"/>
      <c r="BV661" s="180"/>
      <c r="BW661" s="180"/>
      <c r="BX661" s="180"/>
      <c r="BY661" s="180"/>
      <c r="BZ661" s="180"/>
      <c r="CA661" s="180"/>
      <c r="CB661" s="180"/>
      <c r="CC661" s="180"/>
      <c r="CD661" s="180"/>
      <c r="CE661" s="180"/>
      <c r="CF661" s="180"/>
      <c r="CG661" s="180"/>
      <c r="CH661" s="180"/>
      <c r="CI661" s="180"/>
      <c r="CJ661" s="180"/>
      <c r="CK661" s="180"/>
      <c r="CL661" s="180"/>
      <c r="CM661" s="180"/>
      <c r="CN661" s="180"/>
      <c r="CO661" s="180"/>
      <c r="CP661" s="180"/>
      <c r="CQ661" s="180"/>
      <c r="CR661" s="180"/>
      <c r="CS661" s="180"/>
      <c r="CT661" s="180"/>
      <c r="CU661" s="180"/>
      <c r="CV661" s="180"/>
      <c r="CW661" s="180"/>
      <c r="CX661" s="180"/>
      <c r="CY661" s="180"/>
      <c r="CZ661" s="180"/>
    </row>
    <row r="662" spans="1:104" x14ac:dyDescent="0.45">
      <c r="A662" s="180" t="s">
        <v>4</v>
      </c>
      <c r="B662" s="73">
        <v>2</v>
      </c>
      <c r="C662" s="73"/>
      <c r="D662" s="180" t="s">
        <v>296</v>
      </c>
      <c r="E662" s="39">
        <v>43597</v>
      </c>
      <c r="F662" s="179">
        <v>0.31805555555555554</v>
      </c>
      <c r="G662" s="180">
        <v>1</v>
      </c>
      <c r="H662" s="180"/>
      <c r="I662" s="180"/>
      <c r="J662" s="180"/>
      <c r="K662" s="180"/>
      <c r="L662" s="180"/>
      <c r="M662" s="180"/>
      <c r="N662" s="180"/>
      <c r="O662" s="180"/>
      <c r="P662" s="180"/>
      <c r="AS662" s="180"/>
      <c r="AT662" s="180"/>
      <c r="AU662" s="180"/>
      <c r="AV662" s="180"/>
      <c r="AW662" s="180"/>
      <c r="AX662" s="180"/>
      <c r="AY662" s="180"/>
      <c r="AZ662" s="180"/>
      <c r="BA662" s="180"/>
      <c r="BB662" s="180"/>
      <c r="BC662" s="180"/>
      <c r="BD662" s="180"/>
      <c r="BE662" s="180"/>
      <c r="BF662" s="180"/>
      <c r="BG662" s="180"/>
      <c r="BH662" s="180"/>
      <c r="BI662" s="180"/>
      <c r="BJ662" s="180"/>
      <c r="BK662" s="180"/>
      <c r="BL662" s="180"/>
      <c r="BM662" s="180"/>
      <c r="BN662" s="180"/>
      <c r="BO662" s="180"/>
      <c r="BP662" s="180"/>
      <c r="BQ662" s="180"/>
      <c r="BR662" s="180"/>
      <c r="BS662" s="180"/>
      <c r="BT662" s="180"/>
      <c r="BU662" s="180"/>
      <c r="BV662" s="180"/>
      <c r="BW662" s="180"/>
      <c r="BX662" s="180"/>
      <c r="BY662" s="180"/>
      <c r="BZ662" s="180"/>
      <c r="CA662" s="180"/>
      <c r="CB662" s="180"/>
      <c r="CC662" s="180"/>
      <c r="CD662" s="180"/>
      <c r="CE662" s="180"/>
      <c r="CF662" s="180"/>
      <c r="CG662" s="180"/>
      <c r="CH662" s="180"/>
      <c r="CI662" s="180"/>
      <c r="CJ662" s="180"/>
      <c r="CK662" s="180"/>
      <c r="CL662" s="180"/>
      <c r="CM662" s="180"/>
      <c r="CN662" s="180"/>
      <c r="CO662" s="180"/>
      <c r="CP662" s="180"/>
      <c r="CQ662" s="180"/>
      <c r="CR662" s="180"/>
      <c r="CS662" s="180"/>
      <c r="CT662" s="180"/>
      <c r="CU662" s="180"/>
      <c r="CV662" s="180"/>
      <c r="CW662" s="180"/>
      <c r="CX662" s="180"/>
      <c r="CY662" s="180"/>
      <c r="CZ662" s="180"/>
    </row>
    <row r="663" spans="1:104" x14ac:dyDescent="0.45">
      <c r="A663" s="180" t="s">
        <v>4</v>
      </c>
      <c r="B663" s="73">
        <v>2</v>
      </c>
      <c r="C663" s="73"/>
      <c r="D663" s="180" t="s">
        <v>296</v>
      </c>
      <c r="E663" s="39">
        <v>43597</v>
      </c>
      <c r="F663" s="179">
        <v>0.26597222222222222</v>
      </c>
      <c r="G663" s="180">
        <v>20</v>
      </c>
      <c r="H663" s="180"/>
      <c r="I663" s="180"/>
      <c r="J663" s="180"/>
      <c r="K663" s="180"/>
      <c r="L663" s="180"/>
      <c r="M663" s="180"/>
      <c r="N663" s="180"/>
      <c r="O663" s="180"/>
      <c r="P663" s="180"/>
      <c r="AS663" s="180"/>
      <c r="AT663" s="180"/>
      <c r="AU663" s="180"/>
      <c r="AV663" s="180"/>
      <c r="AW663" s="180"/>
      <c r="AX663" s="180"/>
      <c r="AY663" s="180"/>
      <c r="AZ663" s="180"/>
      <c r="BA663" s="180"/>
      <c r="BB663" s="180"/>
      <c r="BC663" s="180"/>
      <c r="BD663" s="180"/>
      <c r="BE663" s="180"/>
      <c r="BF663" s="180"/>
      <c r="BG663" s="180"/>
      <c r="BH663" s="180"/>
      <c r="BI663" s="180"/>
      <c r="BJ663" s="180"/>
      <c r="BK663" s="180"/>
      <c r="BL663" s="180"/>
      <c r="BM663" s="180"/>
      <c r="BN663" s="180"/>
      <c r="BO663" s="180"/>
      <c r="BP663" s="180"/>
      <c r="BQ663" s="180"/>
      <c r="BR663" s="180"/>
      <c r="BS663" s="180"/>
      <c r="BT663" s="180"/>
      <c r="BU663" s="180"/>
      <c r="BV663" s="180"/>
      <c r="BW663" s="180"/>
      <c r="BX663" s="180"/>
      <c r="BY663" s="180"/>
      <c r="BZ663" s="180"/>
      <c r="CA663" s="180"/>
      <c r="CB663" s="180"/>
      <c r="CC663" s="180"/>
      <c r="CD663" s="180"/>
      <c r="CE663" s="180"/>
      <c r="CF663" s="180"/>
      <c r="CG663" s="180"/>
      <c r="CH663" s="180"/>
      <c r="CI663" s="180"/>
      <c r="CJ663" s="180"/>
      <c r="CK663" s="180"/>
      <c r="CL663" s="180"/>
      <c r="CM663" s="180"/>
      <c r="CN663" s="180"/>
      <c r="CO663" s="180"/>
      <c r="CP663" s="180"/>
      <c r="CQ663" s="180"/>
      <c r="CR663" s="180"/>
      <c r="CS663" s="180"/>
      <c r="CT663" s="180"/>
      <c r="CU663" s="180"/>
      <c r="CV663" s="180"/>
      <c r="CW663" s="180"/>
      <c r="CX663" s="180"/>
      <c r="CY663" s="180"/>
      <c r="CZ663" s="180"/>
    </row>
    <row r="664" spans="1:104" x14ac:dyDescent="0.45">
      <c r="A664" s="180" t="s">
        <v>4</v>
      </c>
      <c r="B664" s="73">
        <v>2</v>
      </c>
      <c r="C664" s="73">
        <v>2</v>
      </c>
      <c r="D664" s="180" t="s">
        <v>271</v>
      </c>
      <c r="E664" s="39">
        <v>43597</v>
      </c>
      <c r="F664" s="179">
        <v>0.66666666666666663</v>
      </c>
      <c r="G664" s="180">
        <v>2</v>
      </c>
      <c r="H664" s="180"/>
      <c r="I664" s="180"/>
      <c r="J664" s="180"/>
      <c r="K664" s="180"/>
      <c r="L664" s="180"/>
      <c r="M664" s="180"/>
      <c r="N664" s="180"/>
      <c r="O664" s="180"/>
      <c r="P664" s="180"/>
      <c r="AS664" s="180"/>
      <c r="AT664" s="180"/>
      <c r="AU664" s="180"/>
      <c r="AV664" s="180"/>
      <c r="AW664" s="180"/>
      <c r="AX664" s="180"/>
      <c r="AY664" s="180"/>
      <c r="AZ664" s="180"/>
      <c r="BA664" s="180"/>
      <c r="BB664" s="180"/>
      <c r="BC664" s="180"/>
      <c r="BD664" s="180"/>
      <c r="BE664" s="180"/>
      <c r="BF664" s="180"/>
      <c r="BG664" s="180"/>
      <c r="BH664" s="180"/>
      <c r="BI664" s="180"/>
      <c r="BJ664" s="180"/>
      <c r="BK664" s="180"/>
      <c r="BL664" s="180"/>
      <c r="BM664" s="180"/>
      <c r="BN664" s="180"/>
      <c r="BO664" s="180"/>
      <c r="BP664" s="180"/>
      <c r="BQ664" s="180"/>
      <c r="BR664" s="180"/>
      <c r="BS664" s="180"/>
      <c r="BT664" s="180"/>
      <c r="BU664" s="180"/>
      <c r="BV664" s="180"/>
      <c r="BW664" s="180"/>
      <c r="BX664" s="180"/>
      <c r="BY664" s="180"/>
      <c r="BZ664" s="180"/>
      <c r="CA664" s="180"/>
      <c r="CB664" s="180"/>
      <c r="CC664" s="180"/>
      <c r="CD664" s="180"/>
      <c r="CE664" s="180"/>
      <c r="CF664" s="180"/>
      <c r="CG664" s="180"/>
      <c r="CH664" s="180"/>
      <c r="CI664" s="180"/>
      <c r="CJ664" s="180"/>
      <c r="CK664" s="180"/>
      <c r="CL664" s="180"/>
      <c r="CM664" s="180"/>
      <c r="CN664" s="180"/>
      <c r="CO664" s="180"/>
      <c r="CP664" s="180"/>
      <c r="CQ664" s="180"/>
      <c r="CR664" s="180"/>
      <c r="CS664" s="180"/>
      <c r="CT664" s="180"/>
      <c r="CU664" s="180"/>
      <c r="CV664" s="180"/>
      <c r="CW664" s="180"/>
      <c r="CX664" s="180"/>
      <c r="CY664" s="180"/>
      <c r="CZ664" s="180"/>
    </row>
    <row r="665" spans="1:104" s="2" customFormat="1" x14ac:dyDescent="0.45">
      <c r="A665" s="180" t="s">
        <v>4</v>
      </c>
      <c r="B665" s="73">
        <v>1</v>
      </c>
      <c r="C665" s="73"/>
      <c r="D665" s="180" t="s">
        <v>271</v>
      </c>
      <c r="E665" s="39">
        <v>43597</v>
      </c>
      <c r="F665" s="179">
        <v>0.27291666666666664</v>
      </c>
      <c r="G665" s="180">
        <v>1</v>
      </c>
      <c r="H665" s="180"/>
      <c r="I665" s="180" t="s">
        <v>482</v>
      </c>
      <c r="J665" s="180"/>
      <c r="K665" s="180"/>
      <c r="L665" s="180"/>
      <c r="M665" s="180"/>
      <c r="N665" s="180"/>
      <c r="O665" s="180"/>
      <c r="P665" s="180"/>
      <c r="Q665"/>
      <c r="R665"/>
      <c r="S665"/>
      <c r="T665"/>
      <c r="U665"/>
      <c r="V665"/>
      <c r="W665"/>
      <c r="X665"/>
      <c r="Y665"/>
      <c r="Z665"/>
      <c r="AA665"/>
      <c r="AB665"/>
      <c r="AC665"/>
      <c r="AD665"/>
      <c r="AE665"/>
      <c r="AF665"/>
      <c r="AG665"/>
      <c r="AH665"/>
      <c r="AI665"/>
      <c r="AJ665"/>
      <c r="AK665"/>
      <c r="AL665"/>
      <c r="AM665"/>
      <c r="AN665"/>
      <c r="AO665"/>
      <c r="AP665"/>
      <c r="AQ665"/>
      <c r="AR665"/>
      <c r="AS665" s="180"/>
      <c r="AT665" s="180"/>
      <c r="AU665" s="180"/>
      <c r="AV665" s="180"/>
      <c r="AW665" s="180"/>
      <c r="AX665" s="180"/>
      <c r="AY665" s="180"/>
      <c r="AZ665" s="180"/>
      <c r="BA665" s="180"/>
      <c r="BB665" s="180"/>
      <c r="BC665" s="180"/>
      <c r="BD665" s="180"/>
      <c r="BE665" s="180"/>
      <c r="BF665" s="180"/>
      <c r="BG665" s="180"/>
      <c r="BH665" s="180"/>
      <c r="BI665" s="180"/>
      <c r="BJ665" s="180"/>
      <c r="BK665" s="180"/>
      <c r="BL665" s="180"/>
      <c r="BM665" s="180"/>
      <c r="BN665" s="180"/>
      <c r="BO665" s="180"/>
      <c r="BP665" s="180"/>
      <c r="BQ665" s="180"/>
      <c r="BR665" s="180"/>
      <c r="BS665" s="180"/>
      <c r="BT665" s="180"/>
      <c r="BU665" s="180"/>
      <c r="BV665" s="180"/>
      <c r="BW665" s="180"/>
      <c r="BX665" s="180"/>
      <c r="BY665" s="180"/>
      <c r="BZ665" s="180"/>
      <c r="CA665" s="180"/>
      <c r="CB665" s="180"/>
      <c r="CC665" s="180"/>
      <c r="CD665" s="180"/>
      <c r="CE665" s="180"/>
      <c r="CF665" s="180"/>
      <c r="CG665" s="180"/>
      <c r="CH665" s="180"/>
      <c r="CI665" s="180"/>
      <c r="CJ665" s="180"/>
      <c r="CK665" s="180"/>
      <c r="CL665" s="180"/>
      <c r="CM665" s="180"/>
      <c r="CN665" s="180"/>
      <c r="CO665" s="180"/>
      <c r="CP665" s="180"/>
      <c r="CQ665" s="180"/>
      <c r="CR665" s="180"/>
      <c r="CS665" s="180"/>
      <c r="CT665" s="180"/>
      <c r="CU665" s="180"/>
      <c r="CV665" s="180"/>
      <c r="CW665" s="180"/>
      <c r="CX665" s="180"/>
      <c r="CY665" s="180"/>
      <c r="CZ665" s="180"/>
    </row>
    <row r="666" spans="1:104" x14ac:dyDescent="0.45">
      <c r="A666" s="180" t="s">
        <v>4</v>
      </c>
      <c r="B666" s="73">
        <v>4</v>
      </c>
      <c r="C666" s="73">
        <v>4</v>
      </c>
      <c r="D666" s="180" t="s">
        <v>296</v>
      </c>
      <c r="E666" s="39">
        <v>43598</v>
      </c>
      <c r="F666" s="179">
        <v>0.60833333333333328</v>
      </c>
      <c r="G666" s="180">
        <v>1</v>
      </c>
      <c r="H666" s="180"/>
      <c r="I666" s="180"/>
      <c r="J666" s="180"/>
      <c r="K666" s="180"/>
      <c r="L666" s="180"/>
      <c r="M666" s="180"/>
      <c r="N666" s="180"/>
      <c r="O666" s="180"/>
      <c r="P666" s="180"/>
      <c r="AS666" s="180"/>
      <c r="AT666" s="180"/>
      <c r="AU666" s="180"/>
      <c r="AV666" s="180"/>
      <c r="AW666" s="180"/>
      <c r="AX666" s="180"/>
      <c r="AY666" s="180"/>
      <c r="AZ666" s="180"/>
      <c r="BA666" s="180"/>
      <c r="BB666" s="180"/>
      <c r="BC666" s="180"/>
      <c r="BD666" s="180"/>
      <c r="BE666" s="180"/>
      <c r="BF666" s="180"/>
      <c r="BG666" s="180"/>
      <c r="BH666" s="180"/>
      <c r="BI666" s="180"/>
      <c r="BJ666" s="180"/>
      <c r="BK666" s="180"/>
      <c r="BL666" s="180"/>
      <c r="BM666" s="180"/>
      <c r="BN666" s="180"/>
      <c r="BO666" s="180"/>
      <c r="BP666" s="180"/>
      <c r="BQ666" s="180"/>
      <c r="BR666" s="180"/>
      <c r="BS666" s="180"/>
      <c r="BT666" s="180"/>
      <c r="BU666" s="180"/>
      <c r="BV666" s="180"/>
      <c r="BW666" s="180"/>
      <c r="BX666" s="180"/>
      <c r="BY666" s="180"/>
      <c r="BZ666" s="180"/>
      <c r="CA666" s="180"/>
      <c r="CB666" s="180"/>
      <c r="CC666" s="180"/>
      <c r="CD666" s="180"/>
      <c r="CE666" s="180"/>
      <c r="CF666" s="180"/>
      <c r="CG666" s="180"/>
      <c r="CH666" s="180"/>
      <c r="CI666" s="180"/>
      <c r="CJ666" s="180"/>
      <c r="CK666" s="180"/>
      <c r="CL666" s="180"/>
      <c r="CM666" s="180"/>
      <c r="CN666" s="180"/>
      <c r="CO666" s="180"/>
      <c r="CP666" s="180"/>
      <c r="CQ666" s="180"/>
      <c r="CR666" s="180"/>
      <c r="CS666" s="180"/>
      <c r="CT666" s="180"/>
      <c r="CU666" s="180"/>
      <c r="CV666" s="180"/>
      <c r="CW666" s="180"/>
      <c r="CX666" s="180"/>
      <c r="CY666" s="180"/>
      <c r="CZ666" s="180"/>
    </row>
    <row r="667" spans="1:104" x14ac:dyDescent="0.45">
      <c r="A667" s="180" t="s">
        <v>4</v>
      </c>
      <c r="B667" s="73">
        <v>1</v>
      </c>
      <c r="C667" s="73">
        <v>1</v>
      </c>
      <c r="D667" s="180" t="s">
        <v>271</v>
      </c>
      <c r="E667" s="39">
        <v>43599</v>
      </c>
      <c r="F667" s="179">
        <v>0.59305555555555556</v>
      </c>
      <c r="G667" s="180">
        <v>1</v>
      </c>
      <c r="H667" s="180"/>
      <c r="I667" s="180"/>
      <c r="J667" s="180"/>
      <c r="K667" s="180"/>
      <c r="L667" s="180"/>
      <c r="M667" s="180"/>
      <c r="N667" s="180"/>
      <c r="O667" s="180"/>
      <c r="P667" s="180"/>
      <c r="AS667" s="180"/>
      <c r="AT667" s="180"/>
      <c r="AU667" s="180"/>
      <c r="AV667" s="180"/>
      <c r="AW667" s="180"/>
      <c r="AX667" s="180"/>
      <c r="AY667" s="180"/>
      <c r="AZ667" s="180"/>
      <c r="BA667" s="180"/>
      <c r="BB667" s="180"/>
      <c r="BC667" s="180"/>
      <c r="BD667" s="180"/>
      <c r="BE667" s="180"/>
      <c r="BF667" s="180"/>
      <c r="BG667" s="180"/>
      <c r="BH667" s="180"/>
      <c r="BI667" s="180"/>
      <c r="BJ667" s="180"/>
      <c r="BK667" s="180"/>
      <c r="BL667" s="180"/>
      <c r="BM667" s="180"/>
      <c r="BN667" s="180"/>
      <c r="BO667" s="180"/>
      <c r="BP667" s="180"/>
      <c r="BQ667" s="180"/>
      <c r="BR667" s="180"/>
      <c r="BS667" s="180"/>
      <c r="BT667" s="180"/>
      <c r="BU667" s="180"/>
      <c r="BV667" s="180"/>
      <c r="BW667" s="180"/>
      <c r="BX667" s="180"/>
      <c r="BY667" s="180"/>
      <c r="BZ667" s="180"/>
      <c r="CA667" s="180"/>
      <c r="CB667" s="180"/>
      <c r="CC667" s="180"/>
      <c r="CD667" s="180"/>
      <c r="CE667" s="180"/>
      <c r="CF667" s="180"/>
      <c r="CG667" s="180"/>
      <c r="CH667" s="180"/>
      <c r="CI667" s="180"/>
      <c r="CJ667" s="180"/>
      <c r="CK667" s="180"/>
      <c r="CL667" s="180"/>
      <c r="CM667" s="180"/>
      <c r="CN667" s="180"/>
      <c r="CO667" s="180"/>
      <c r="CP667" s="180"/>
      <c r="CQ667" s="180"/>
      <c r="CR667" s="180"/>
      <c r="CS667" s="180"/>
      <c r="CT667" s="180"/>
      <c r="CU667" s="180"/>
      <c r="CV667" s="180"/>
      <c r="CW667" s="180"/>
      <c r="CX667" s="180"/>
      <c r="CY667" s="180"/>
      <c r="CZ667" s="180"/>
    </row>
    <row r="668" spans="1:104" x14ac:dyDescent="0.45">
      <c r="A668" s="180" t="s">
        <v>4</v>
      </c>
      <c r="B668" s="73">
        <v>1</v>
      </c>
      <c r="C668" s="73"/>
      <c r="D668" s="180" t="s">
        <v>271</v>
      </c>
      <c r="E668" s="39">
        <v>43599</v>
      </c>
      <c r="F668" s="179">
        <v>0.50347222222222221</v>
      </c>
      <c r="G668" s="180">
        <v>1</v>
      </c>
      <c r="H668" s="180"/>
      <c r="I668" s="180"/>
      <c r="J668" s="180"/>
      <c r="K668" s="180"/>
      <c r="L668" s="180"/>
      <c r="M668" s="180"/>
      <c r="N668" s="180"/>
      <c r="O668" s="180"/>
      <c r="P668" s="180"/>
      <c r="AS668" s="180"/>
      <c r="AT668" s="180"/>
      <c r="AU668" s="180"/>
      <c r="AV668" s="180"/>
      <c r="AW668" s="180"/>
      <c r="AX668" s="180"/>
      <c r="AY668" s="180"/>
      <c r="AZ668" s="180"/>
      <c r="BA668" s="180"/>
      <c r="BB668" s="180"/>
      <c r="BC668" s="180"/>
      <c r="BD668" s="180"/>
      <c r="BE668" s="180"/>
      <c r="BF668" s="180"/>
      <c r="BG668" s="180"/>
      <c r="BH668" s="180"/>
      <c r="BI668" s="180"/>
      <c r="BJ668" s="180"/>
      <c r="BK668" s="180"/>
      <c r="BL668" s="180"/>
      <c r="BM668" s="180"/>
      <c r="BN668" s="180"/>
      <c r="BO668" s="180"/>
      <c r="BP668" s="180"/>
      <c r="BQ668" s="180"/>
      <c r="BR668" s="180"/>
      <c r="BS668" s="180"/>
      <c r="BT668" s="180"/>
      <c r="BU668" s="180"/>
      <c r="BV668" s="180"/>
      <c r="BW668" s="180"/>
      <c r="BX668" s="180"/>
      <c r="BY668" s="180"/>
      <c r="BZ668" s="180"/>
      <c r="CA668" s="180"/>
      <c r="CB668" s="180"/>
      <c r="CC668" s="180"/>
      <c r="CD668" s="180"/>
      <c r="CE668" s="180"/>
      <c r="CF668" s="180"/>
      <c r="CG668" s="180"/>
      <c r="CH668" s="180"/>
      <c r="CI668" s="180"/>
      <c r="CJ668" s="180"/>
      <c r="CK668" s="180"/>
      <c r="CL668" s="180"/>
      <c r="CM668" s="180"/>
      <c r="CN668" s="180"/>
      <c r="CO668" s="180"/>
      <c r="CP668" s="180"/>
      <c r="CQ668" s="180"/>
      <c r="CR668" s="180"/>
      <c r="CS668" s="180"/>
      <c r="CT668" s="180"/>
      <c r="CU668" s="180"/>
      <c r="CV668" s="180"/>
      <c r="CW668" s="180"/>
      <c r="CX668" s="180"/>
      <c r="CY668" s="180"/>
      <c r="CZ668" s="180"/>
    </row>
    <row r="669" spans="1:104" x14ac:dyDescent="0.45">
      <c r="A669" s="180" t="s">
        <v>4</v>
      </c>
      <c r="B669" s="73">
        <v>1</v>
      </c>
      <c r="C669" s="73"/>
      <c r="D669" s="180" t="s">
        <v>271</v>
      </c>
      <c r="E669" s="39">
        <v>43599</v>
      </c>
      <c r="F669" s="179">
        <v>0.42708333333333331</v>
      </c>
      <c r="G669" s="180">
        <v>1</v>
      </c>
      <c r="H669" s="180"/>
      <c r="I669" s="180"/>
      <c r="J669" s="180"/>
      <c r="K669" s="180"/>
      <c r="L669" s="180"/>
      <c r="M669" s="180"/>
      <c r="N669" s="180"/>
      <c r="O669" s="180"/>
      <c r="P669" s="180"/>
      <c r="AS669" s="180"/>
      <c r="AT669" s="180"/>
      <c r="AU669" s="180"/>
      <c r="AV669" s="180"/>
      <c r="AW669" s="180"/>
      <c r="AX669" s="180"/>
      <c r="AY669" s="180"/>
      <c r="AZ669" s="180"/>
      <c r="BA669" s="180"/>
      <c r="BB669" s="180"/>
      <c r="BC669" s="180"/>
      <c r="BD669" s="180"/>
      <c r="BE669" s="180"/>
      <c r="BF669" s="180"/>
      <c r="BG669" s="180"/>
      <c r="BH669" s="180"/>
      <c r="BI669" s="180"/>
      <c r="BJ669" s="180"/>
      <c r="BK669" s="180"/>
      <c r="BL669" s="180"/>
      <c r="BM669" s="180"/>
      <c r="BN669" s="180"/>
      <c r="BO669" s="180"/>
      <c r="BP669" s="180"/>
      <c r="BQ669" s="180"/>
      <c r="BR669" s="180"/>
      <c r="BS669" s="180"/>
      <c r="BT669" s="180"/>
      <c r="BU669" s="180"/>
      <c r="BV669" s="180"/>
      <c r="BW669" s="180"/>
      <c r="BX669" s="180"/>
      <c r="BY669" s="180"/>
      <c r="BZ669" s="180"/>
      <c r="CA669" s="180"/>
      <c r="CB669" s="180"/>
      <c r="CC669" s="180"/>
      <c r="CD669" s="180"/>
      <c r="CE669" s="180"/>
      <c r="CF669" s="180"/>
      <c r="CG669" s="180"/>
      <c r="CH669" s="180"/>
      <c r="CI669" s="180"/>
      <c r="CJ669" s="180"/>
      <c r="CK669" s="180"/>
      <c r="CL669" s="180"/>
      <c r="CM669" s="180"/>
      <c r="CN669" s="180"/>
      <c r="CO669" s="180"/>
      <c r="CP669" s="180"/>
      <c r="CQ669" s="180"/>
      <c r="CR669" s="180"/>
      <c r="CS669" s="180"/>
      <c r="CT669" s="180"/>
      <c r="CU669" s="180"/>
      <c r="CV669" s="180"/>
      <c r="CW669" s="180"/>
      <c r="CX669" s="180"/>
      <c r="CY669" s="180"/>
      <c r="CZ669" s="180"/>
    </row>
    <row r="670" spans="1:104" x14ac:dyDescent="0.45">
      <c r="A670" s="180" t="s">
        <v>4</v>
      </c>
      <c r="B670" s="73">
        <v>3</v>
      </c>
      <c r="C670" s="73">
        <v>3</v>
      </c>
      <c r="D670" s="180" t="s">
        <v>271</v>
      </c>
      <c r="E670" s="39">
        <v>43600</v>
      </c>
      <c r="F670" s="179">
        <v>0.59027777777777779</v>
      </c>
      <c r="G670" s="180">
        <v>2</v>
      </c>
      <c r="H670" s="180"/>
      <c r="I670" s="180"/>
      <c r="J670" s="180"/>
      <c r="K670" s="180"/>
      <c r="L670" s="180"/>
      <c r="M670" s="180"/>
      <c r="N670" s="180"/>
      <c r="O670" s="180"/>
      <c r="P670" s="180"/>
      <c r="AS670" s="180"/>
      <c r="AT670" s="180"/>
      <c r="AU670" s="180"/>
      <c r="AV670" s="180"/>
      <c r="AW670" s="180"/>
      <c r="AX670" s="180"/>
      <c r="AY670" s="180"/>
      <c r="AZ670" s="180"/>
      <c r="BA670" s="180"/>
      <c r="BB670" s="180"/>
      <c r="BC670" s="180"/>
      <c r="BD670" s="180"/>
      <c r="BE670" s="180"/>
      <c r="BF670" s="180"/>
      <c r="BG670" s="180"/>
      <c r="BH670" s="180"/>
      <c r="BI670" s="180"/>
      <c r="BJ670" s="180"/>
      <c r="BK670" s="180"/>
      <c r="BL670" s="180"/>
      <c r="BM670" s="180"/>
      <c r="BN670" s="180"/>
      <c r="BO670" s="180"/>
      <c r="BP670" s="180"/>
      <c r="BQ670" s="180"/>
      <c r="BR670" s="180"/>
      <c r="BS670" s="180"/>
      <c r="BT670" s="180"/>
      <c r="BU670" s="180"/>
      <c r="BV670" s="180"/>
      <c r="BW670" s="180"/>
      <c r="BX670" s="180"/>
      <c r="BY670" s="180"/>
      <c r="BZ670" s="180"/>
      <c r="CA670" s="180"/>
      <c r="CB670" s="180"/>
      <c r="CC670" s="180"/>
      <c r="CD670" s="180"/>
      <c r="CE670" s="180"/>
      <c r="CF670" s="180"/>
      <c r="CG670" s="180"/>
      <c r="CH670" s="180"/>
      <c r="CI670" s="180"/>
      <c r="CJ670" s="180"/>
      <c r="CK670" s="180"/>
      <c r="CL670" s="180"/>
      <c r="CM670" s="180"/>
      <c r="CN670" s="180"/>
      <c r="CO670" s="180"/>
      <c r="CP670" s="180"/>
      <c r="CQ670" s="180"/>
      <c r="CR670" s="180"/>
      <c r="CS670" s="180"/>
      <c r="CT670" s="180"/>
      <c r="CU670" s="180"/>
      <c r="CV670" s="180"/>
      <c r="CW670" s="180"/>
      <c r="CX670" s="180"/>
      <c r="CY670" s="180"/>
      <c r="CZ670" s="180"/>
    </row>
    <row r="671" spans="1:104" s="2" customFormat="1" x14ac:dyDescent="0.45">
      <c r="A671" s="180" t="s">
        <v>4</v>
      </c>
      <c r="B671" s="73">
        <v>2</v>
      </c>
      <c r="C671" s="73"/>
      <c r="D671" s="180" t="s">
        <v>271</v>
      </c>
      <c r="E671" s="39">
        <v>43600</v>
      </c>
      <c r="F671" s="179">
        <v>0.71250000000000002</v>
      </c>
      <c r="G671" s="180">
        <v>1</v>
      </c>
      <c r="H671" s="180"/>
      <c r="I671" s="180"/>
      <c r="J671" s="180"/>
      <c r="K671" s="180"/>
      <c r="L671" s="180"/>
      <c r="M671" s="180"/>
      <c r="N671" s="180"/>
      <c r="O671" s="180"/>
      <c r="P671" s="180"/>
      <c r="Q671"/>
      <c r="R671"/>
      <c r="S671"/>
      <c r="T671"/>
      <c r="U671"/>
      <c r="V671"/>
      <c r="W671"/>
      <c r="X671"/>
      <c r="Y671"/>
      <c r="Z671"/>
      <c r="AA671"/>
      <c r="AB671"/>
      <c r="AC671"/>
      <c r="AD671"/>
      <c r="AE671"/>
      <c r="AF671"/>
      <c r="AG671"/>
      <c r="AH671"/>
      <c r="AI671"/>
      <c r="AJ671"/>
      <c r="AK671"/>
      <c r="AL671"/>
      <c r="AM671"/>
      <c r="AN671"/>
      <c r="AO671"/>
      <c r="AP671"/>
      <c r="AQ671"/>
      <c r="AR671"/>
      <c r="AS671" s="180"/>
      <c r="AT671" s="180"/>
      <c r="AU671" s="180"/>
      <c r="AV671" s="180"/>
      <c r="AW671" s="180"/>
      <c r="AX671" s="180"/>
      <c r="AY671" s="180"/>
      <c r="AZ671" s="180"/>
      <c r="BA671" s="180"/>
      <c r="BB671" s="180"/>
      <c r="BC671" s="180"/>
      <c r="BD671" s="180"/>
      <c r="BE671" s="180"/>
      <c r="BF671" s="180"/>
      <c r="BG671" s="180"/>
      <c r="BH671" s="180"/>
      <c r="BI671" s="180"/>
      <c r="BJ671" s="180"/>
      <c r="BK671" s="180"/>
      <c r="BL671" s="180"/>
      <c r="BM671" s="180"/>
      <c r="BN671" s="180"/>
      <c r="BO671" s="180"/>
      <c r="BP671" s="180"/>
      <c r="BQ671" s="180"/>
      <c r="BR671" s="180"/>
      <c r="BS671" s="180"/>
      <c r="BT671" s="180"/>
      <c r="BU671" s="180"/>
      <c r="BV671" s="180"/>
      <c r="BW671" s="180"/>
      <c r="BX671" s="180"/>
      <c r="BY671" s="180"/>
      <c r="BZ671" s="180"/>
      <c r="CA671" s="180"/>
      <c r="CB671" s="180"/>
      <c r="CC671" s="180"/>
      <c r="CD671" s="180"/>
      <c r="CE671" s="180"/>
      <c r="CF671" s="180"/>
      <c r="CG671" s="180"/>
      <c r="CH671" s="180"/>
      <c r="CI671" s="180"/>
      <c r="CJ671" s="180"/>
      <c r="CK671" s="180"/>
      <c r="CL671" s="180"/>
      <c r="CM671" s="180"/>
      <c r="CN671" s="180"/>
      <c r="CO671" s="180"/>
      <c r="CP671" s="180"/>
      <c r="CQ671" s="180"/>
      <c r="CR671" s="180"/>
      <c r="CS671" s="180"/>
      <c r="CT671" s="180"/>
      <c r="CU671" s="180"/>
      <c r="CV671" s="180"/>
      <c r="CW671" s="180"/>
      <c r="CX671" s="180"/>
      <c r="CY671" s="180"/>
      <c r="CZ671" s="180"/>
    </row>
    <row r="672" spans="1:104" s="2" customFormat="1" x14ac:dyDescent="0.45">
      <c r="A672" s="180" t="s">
        <v>4</v>
      </c>
      <c r="B672" s="73">
        <v>1</v>
      </c>
      <c r="C672" s="73">
        <v>1</v>
      </c>
      <c r="D672" s="180" t="s">
        <v>296</v>
      </c>
      <c r="E672" s="39">
        <v>43601</v>
      </c>
      <c r="F672" s="179">
        <v>0.60416666666666663</v>
      </c>
      <c r="G672" s="180">
        <v>2</v>
      </c>
      <c r="H672" s="180"/>
      <c r="I672" s="180"/>
      <c r="J672" s="180"/>
      <c r="K672" s="180"/>
      <c r="L672" s="180"/>
      <c r="M672" s="180"/>
      <c r="N672" s="180"/>
      <c r="O672" s="180"/>
      <c r="P672" s="180"/>
      <c r="Q672"/>
      <c r="R672"/>
      <c r="S672"/>
      <c r="T672"/>
      <c r="U672"/>
      <c r="V672"/>
      <c r="W672"/>
      <c r="X672"/>
      <c r="Y672"/>
      <c r="Z672"/>
      <c r="AA672"/>
      <c r="AB672"/>
      <c r="AC672"/>
      <c r="AD672"/>
      <c r="AE672"/>
      <c r="AF672"/>
      <c r="AG672"/>
      <c r="AH672"/>
      <c r="AI672"/>
      <c r="AJ672"/>
      <c r="AK672"/>
      <c r="AL672"/>
      <c r="AM672"/>
      <c r="AN672"/>
      <c r="AO672"/>
      <c r="AP672"/>
      <c r="AQ672"/>
      <c r="AR672"/>
      <c r="AS672" s="180"/>
      <c r="AT672" s="180"/>
      <c r="AU672" s="180"/>
      <c r="AV672" s="180"/>
      <c r="AW672" s="180"/>
      <c r="AX672" s="180"/>
      <c r="AY672" s="180"/>
      <c r="AZ672" s="180"/>
      <c r="BA672" s="180"/>
      <c r="BB672" s="180"/>
      <c r="BC672" s="180"/>
      <c r="BD672" s="180"/>
      <c r="BE672" s="180"/>
      <c r="BF672" s="180"/>
      <c r="BG672" s="180"/>
      <c r="BH672" s="180"/>
      <c r="BI672" s="180"/>
      <c r="BJ672" s="180"/>
      <c r="BK672" s="180"/>
      <c r="BL672" s="180"/>
      <c r="BM672" s="180"/>
      <c r="BN672" s="180"/>
      <c r="BO672" s="180"/>
      <c r="BP672" s="180"/>
      <c r="BQ672" s="180"/>
      <c r="BR672" s="180"/>
      <c r="BS672" s="180"/>
      <c r="BT672" s="180"/>
      <c r="BU672" s="180"/>
      <c r="BV672" s="180"/>
      <c r="BW672" s="180"/>
      <c r="BX672" s="180"/>
      <c r="BY672" s="180"/>
      <c r="BZ672" s="180"/>
      <c r="CA672" s="180"/>
      <c r="CB672" s="180"/>
      <c r="CC672" s="180"/>
      <c r="CD672" s="180"/>
      <c r="CE672" s="180"/>
      <c r="CF672" s="180"/>
      <c r="CG672" s="180"/>
      <c r="CH672" s="180"/>
      <c r="CI672" s="180"/>
      <c r="CJ672" s="180"/>
      <c r="CK672" s="180"/>
      <c r="CL672" s="180"/>
      <c r="CM672" s="180"/>
      <c r="CN672" s="180"/>
      <c r="CO672" s="180"/>
      <c r="CP672" s="180"/>
      <c r="CQ672" s="180"/>
      <c r="CR672" s="180"/>
      <c r="CS672" s="180"/>
      <c r="CT672" s="180"/>
      <c r="CU672" s="180"/>
      <c r="CV672" s="180"/>
      <c r="CW672" s="180"/>
      <c r="CX672" s="180"/>
      <c r="CY672" s="180"/>
      <c r="CZ672" s="180"/>
    </row>
    <row r="673" spans="1:104" s="2" customFormat="1" x14ac:dyDescent="0.45">
      <c r="A673" s="1" t="s">
        <v>273</v>
      </c>
      <c r="B673" s="73"/>
      <c r="C673" s="73">
        <f>SUM(C639:C672)</f>
        <v>29</v>
      </c>
      <c r="D673" s="180"/>
      <c r="E673" s="39"/>
      <c r="F673" s="179"/>
      <c r="G673" s="180"/>
      <c r="H673" s="180"/>
      <c r="I673" s="180"/>
      <c r="J673" s="180"/>
      <c r="K673" s="180"/>
      <c r="L673" s="180"/>
      <c r="M673" s="180"/>
      <c r="N673" s="180"/>
      <c r="O673" s="180"/>
      <c r="P673" s="180"/>
      <c r="Q673"/>
      <c r="R673"/>
      <c r="S673"/>
      <c r="T673"/>
      <c r="U673"/>
      <c r="V673"/>
      <c r="W673"/>
      <c r="X673"/>
      <c r="Y673"/>
      <c r="Z673"/>
      <c r="AA673"/>
      <c r="AB673"/>
      <c r="AC673"/>
      <c r="AD673"/>
      <c r="AE673"/>
      <c r="AF673"/>
      <c r="AG673"/>
      <c r="AH673"/>
      <c r="AI673"/>
      <c r="AJ673"/>
      <c r="AK673"/>
      <c r="AL673"/>
      <c r="AM673"/>
      <c r="AN673"/>
      <c r="AO673"/>
      <c r="AP673"/>
      <c r="AQ673"/>
      <c r="AR673"/>
      <c r="AS673" s="180"/>
      <c r="AT673" s="180"/>
      <c r="AU673" s="180"/>
      <c r="AV673" s="180"/>
      <c r="AW673" s="180"/>
      <c r="AX673" s="180"/>
      <c r="AY673" s="180"/>
      <c r="AZ673" s="180"/>
      <c r="BA673" s="180"/>
      <c r="BB673" s="180"/>
      <c r="BC673" s="180"/>
      <c r="BD673" s="180"/>
      <c r="BE673" s="180"/>
      <c r="BF673" s="180"/>
      <c r="BG673" s="180"/>
      <c r="BH673" s="180"/>
      <c r="BI673" s="180"/>
      <c r="BJ673" s="180"/>
      <c r="BK673" s="180"/>
      <c r="BL673" s="180"/>
      <c r="BM673" s="180"/>
      <c r="BN673" s="180"/>
      <c r="BO673" s="180"/>
      <c r="BP673" s="180"/>
      <c r="BQ673" s="180"/>
      <c r="BR673" s="180"/>
      <c r="BS673" s="180"/>
      <c r="BT673" s="180"/>
      <c r="BU673" s="180"/>
      <c r="BV673" s="180"/>
      <c r="BW673" s="180"/>
      <c r="BX673" s="180"/>
      <c r="BY673" s="180"/>
      <c r="BZ673" s="180"/>
      <c r="CA673" s="180"/>
      <c r="CB673" s="180"/>
      <c r="CC673" s="180"/>
      <c r="CD673" s="180"/>
      <c r="CE673" s="180"/>
      <c r="CF673" s="180"/>
      <c r="CG673" s="180"/>
      <c r="CH673" s="180"/>
      <c r="CI673" s="180"/>
      <c r="CJ673" s="180"/>
      <c r="CK673" s="180"/>
      <c r="CL673" s="180"/>
      <c r="CM673" s="180"/>
      <c r="CN673" s="180"/>
      <c r="CO673" s="180"/>
      <c r="CP673" s="180"/>
      <c r="CQ673" s="180"/>
      <c r="CR673" s="180"/>
      <c r="CS673" s="180"/>
      <c r="CT673" s="180"/>
      <c r="CU673" s="180"/>
      <c r="CV673" s="180"/>
      <c r="CW673" s="180"/>
      <c r="CX673" s="180"/>
      <c r="CY673" s="180"/>
      <c r="CZ673" s="180"/>
    </row>
    <row r="674" spans="1:104" s="2" customFormat="1" x14ac:dyDescent="0.45">
      <c r="A674" s="180"/>
      <c r="B674" s="73"/>
      <c r="C674" s="73"/>
      <c r="D674" s="180"/>
      <c r="E674" s="39"/>
      <c r="F674" s="179"/>
      <c r="G674" s="180"/>
      <c r="H674" s="180"/>
      <c r="I674" s="180"/>
      <c r="J674" s="180"/>
      <c r="K674" s="180"/>
      <c r="L674" s="180"/>
      <c r="M674" s="180"/>
      <c r="N674" s="180"/>
      <c r="O674" s="180"/>
      <c r="P674" s="180"/>
      <c r="Q674"/>
      <c r="R674"/>
      <c r="S674"/>
      <c r="T674"/>
      <c r="U674"/>
      <c r="V674"/>
      <c r="W674"/>
      <c r="X674"/>
      <c r="Y674"/>
      <c r="Z674"/>
      <c r="AA674"/>
      <c r="AB674"/>
      <c r="AC674"/>
      <c r="AD674"/>
      <c r="AE674"/>
      <c r="AF674"/>
      <c r="AG674"/>
      <c r="AH674"/>
      <c r="AI674"/>
      <c r="AJ674"/>
      <c r="AK674"/>
      <c r="AL674"/>
      <c r="AM674"/>
      <c r="AN674"/>
      <c r="AO674"/>
      <c r="AP674"/>
      <c r="AQ674"/>
      <c r="AR674"/>
      <c r="AS674" s="180"/>
      <c r="AT674" s="180"/>
      <c r="AU674" s="180"/>
      <c r="AV674" s="180"/>
      <c r="AW674" s="180"/>
      <c r="AX674" s="180"/>
      <c r="AY674" s="180"/>
      <c r="AZ674" s="180"/>
      <c r="BA674" s="180"/>
      <c r="BB674" s="180"/>
      <c r="BC674" s="180"/>
      <c r="BD674" s="180"/>
      <c r="BE674" s="180"/>
      <c r="BF674" s="180"/>
      <c r="BG674" s="180"/>
      <c r="BH674" s="180"/>
      <c r="BI674" s="180"/>
      <c r="BJ674" s="180"/>
      <c r="BK674" s="180"/>
      <c r="BL674" s="180"/>
      <c r="BM674" s="180"/>
      <c r="BN674" s="180"/>
      <c r="BO674" s="180"/>
      <c r="BP674" s="180"/>
      <c r="BQ674" s="180"/>
      <c r="BR674" s="180"/>
      <c r="BS674" s="180"/>
      <c r="BT674" s="180"/>
      <c r="BU674" s="180"/>
      <c r="BV674" s="180"/>
      <c r="BW674" s="180"/>
      <c r="BX674" s="180"/>
      <c r="BY674" s="180"/>
      <c r="BZ674" s="180"/>
      <c r="CA674" s="180"/>
      <c r="CB674" s="180"/>
      <c r="CC674" s="180"/>
      <c r="CD674" s="180"/>
      <c r="CE674" s="180"/>
      <c r="CF674" s="180"/>
      <c r="CG674" s="180"/>
      <c r="CH674" s="180"/>
      <c r="CI674" s="180"/>
      <c r="CJ674" s="180"/>
      <c r="CK674" s="180"/>
      <c r="CL674" s="180"/>
      <c r="CM674" s="180"/>
      <c r="CN674" s="180"/>
      <c r="CO674" s="180"/>
      <c r="CP674" s="180"/>
      <c r="CQ674" s="180"/>
      <c r="CR674" s="180"/>
      <c r="CS674" s="180"/>
      <c r="CT674" s="180"/>
      <c r="CU674" s="180"/>
      <c r="CV674" s="180"/>
      <c r="CW674" s="180"/>
      <c r="CX674" s="180"/>
      <c r="CY674" s="180"/>
      <c r="CZ674" s="180"/>
    </row>
    <row r="675" spans="1:104" x14ac:dyDescent="0.45">
      <c r="A675" s="180" t="s">
        <v>54</v>
      </c>
      <c r="B675" s="73">
        <v>1</v>
      </c>
      <c r="C675" s="73">
        <v>1</v>
      </c>
      <c r="D675" s="180" t="s">
        <v>309</v>
      </c>
      <c r="E675" s="39">
        <v>43593</v>
      </c>
      <c r="F675" s="179">
        <v>0.78680555555555554</v>
      </c>
      <c r="G675" s="180">
        <v>1</v>
      </c>
      <c r="H675" s="180"/>
      <c r="I675" s="180"/>
      <c r="J675" s="180"/>
      <c r="K675" s="180"/>
      <c r="L675" s="180"/>
      <c r="M675" s="180"/>
      <c r="N675" s="180"/>
      <c r="O675" s="180"/>
      <c r="P675" s="180"/>
      <c r="AS675" s="180"/>
      <c r="AT675" s="180"/>
      <c r="AU675" s="180"/>
      <c r="AV675" s="180"/>
      <c r="AW675" s="180"/>
      <c r="AX675" s="180"/>
      <c r="AY675" s="180"/>
      <c r="AZ675" s="180"/>
      <c r="BA675" s="180"/>
      <c r="BB675" s="180"/>
      <c r="BC675" s="180"/>
      <c r="BD675" s="180"/>
      <c r="BE675" s="180"/>
      <c r="BF675" s="180"/>
      <c r="BG675" s="180"/>
      <c r="BH675" s="180"/>
      <c r="BI675" s="180"/>
      <c r="BJ675" s="180"/>
      <c r="BK675" s="180"/>
      <c r="BL675" s="180"/>
      <c r="BM675" s="180"/>
      <c r="BN675" s="180"/>
      <c r="BO675" s="180"/>
      <c r="BP675" s="180"/>
      <c r="BQ675" s="180"/>
      <c r="BR675" s="180"/>
      <c r="BS675" s="180"/>
      <c r="BT675" s="180"/>
      <c r="BU675" s="180"/>
      <c r="BV675" s="180"/>
      <c r="BW675" s="180"/>
      <c r="BX675" s="180"/>
      <c r="BY675" s="180"/>
      <c r="BZ675" s="180"/>
      <c r="CA675" s="180"/>
      <c r="CB675" s="180"/>
      <c r="CC675" s="180"/>
      <c r="CD675" s="180"/>
      <c r="CE675" s="180"/>
      <c r="CF675" s="180"/>
      <c r="CG675" s="180"/>
      <c r="CH675" s="180"/>
      <c r="CI675" s="180"/>
      <c r="CJ675" s="180"/>
      <c r="CK675" s="180"/>
      <c r="CL675" s="180"/>
      <c r="CM675" s="180"/>
      <c r="CN675" s="180"/>
      <c r="CO675" s="180"/>
      <c r="CP675" s="180"/>
      <c r="CQ675" s="180"/>
      <c r="CR675" s="180"/>
      <c r="CS675" s="180"/>
      <c r="CT675" s="180"/>
      <c r="CU675" s="180"/>
      <c r="CV675" s="180"/>
      <c r="CW675" s="180"/>
      <c r="CX675" s="180"/>
      <c r="CY675" s="180"/>
      <c r="CZ675" s="180"/>
    </row>
    <row r="676" spans="1:104" x14ac:dyDescent="0.45">
      <c r="A676" s="180" t="s">
        <v>54</v>
      </c>
      <c r="B676" s="73">
        <v>1</v>
      </c>
      <c r="C676" s="73">
        <v>1</v>
      </c>
      <c r="D676" s="180" t="s">
        <v>288</v>
      </c>
      <c r="E676" s="39">
        <v>43593</v>
      </c>
      <c r="F676" s="179">
        <v>0.51180555555555551</v>
      </c>
      <c r="G676" s="180">
        <v>1</v>
      </c>
      <c r="H676" s="180"/>
      <c r="I676" s="180"/>
      <c r="J676" s="180"/>
      <c r="K676" s="180"/>
      <c r="L676" s="180"/>
      <c r="M676" s="180"/>
      <c r="N676" s="180"/>
      <c r="O676" s="180"/>
      <c r="P676" s="180"/>
      <c r="AS676" s="180"/>
      <c r="AT676" s="180"/>
      <c r="AU676" s="180"/>
      <c r="AV676" s="180"/>
      <c r="AW676" s="180"/>
      <c r="AX676" s="180"/>
      <c r="AY676" s="180"/>
      <c r="AZ676" s="180"/>
      <c r="BA676" s="180"/>
      <c r="BB676" s="180"/>
      <c r="BC676" s="180"/>
      <c r="BD676" s="180"/>
      <c r="BE676" s="180"/>
      <c r="BF676" s="180"/>
      <c r="BG676" s="180"/>
      <c r="BH676" s="180"/>
      <c r="BI676" s="180"/>
      <c r="BJ676" s="180"/>
      <c r="BK676" s="180"/>
      <c r="BL676" s="180"/>
      <c r="BM676" s="180"/>
      <c r="BN676" s="180"/>
      <c r="BO676" s="180"/>
      <c r="BP676" s="180"/>
      <c r="BQ676" s="180"/>
      <c r="BR676" s="180"/>
      <c r="BS676" s="180"/>
      <c r="BT676" s="180"/>
      <c r="BU676" s="180"/>
      <c r="BV676" s="180"/>
      <c r="BW676" s="180"/>
      <c r="BX676" s="180"/>
      <c r="BY676" s="180"/>
      <c r="BZ676" s="180"/>
      <c r="CA676" s="180"/>
      <c r="CB676" s="180"/>
      <c r="CC676" s="180"/>
      <c r="CD676" s="180"/>
      <c r="CE676" s="180"/>
      <c r="CF676" s="180"/>
      <c r="CG676" s="180"/>
      <c r="CH676" s="180"/>
      <c r="CI676" s="180"/>
      <c r="CJ676" s="180"/>
      <c r="CK676" s="180"/>
      <c r="CL676" s="180"/>
      <c r="CM676" s="180"/>
      <c r="CN676" s="180"/>
      <c r="CO676" s="180"/>
      <c r="CP676" s="180"/>
      <c r="CQ676" s="180"/>
      <c r="CR676" s="180"/>
      <c r="CS676" s="180"/>
      <c r="CT676" s="180"/>
      <c r="CU676" s="180"/>
      <c r="CV676" s="180"/>
      <c r="CW676" s="180"/>
      <c r="CX676" s="180"/>
      <c r="CY676" s="180"/>
      <c r="CZ676" s="180"/>
    </row>
    <row r="677" spans="1:104" x14ac:dyDescent="0.45">
      <c r="A677" s="180" t="s">
        <v>54</v>
      </c>
      <c r="B677" s="73">
        <v>2</v>
      </c>
      <c r="C677" s="73">
        <v>2</v>
      </c>
      <c r="D677" s="180" t="s">
        <v>359</v>
      </c>
      <c r="E677" s="39">
        <v>43594</v>
      </c>
      <c r="F677" s="179">
        <v>0.75</v>
      </c>
      <c r="G677" s="180">
        <v>2</v>
      </c>
      <c r="H677" s="180"/>
      <c r="I677" s="180"/>
      <c r="J677" s="180"/>
      <c r="K677" s="180"/>
      <c r="L677" s="180"/>
      <c r="M677" s="180"/>
      <c r="N677" s="180"/>
      <c r="O677" s="180"/>
      <c r="P677" s="180"/>
      <c r="AS677" s="180"/>
      <c r="AT677" s="180"/>
      <c r="AU677" s="180"/>
      <c r="AV677" s="180"/>
      <c r="AW677" s="180"/>
      <c r="AX677" s="180"/>
      <c r="AY677" s="180"/>
      <c r="AZ677" s="180"/>
      <c r="BA677" s="180"/>
      <c r="BB677" s="180"/>
      <c r="BC677" s="180"/>
      <c r="BD677" s="180"/>
      <c r="BE677" s="180"/>
      <c r="BF677" s="180"/>
      <c r="BG677" s="180"/>
      <c r="BH677" s="180"/>
      <c r="BI677" s="180"/>
      <c r="BJ677" s="180"/>
      <c r="BK677" s="180"/>
      <c r="BL677" s="180"/>
      <c r="BM677" s="180"/>
      <c r="BN677" s="180"/>
      <c r="BO677" s="180"/>
      <c r="BP677" s="180"/>
      <c r="BQ677" s="180"/>
      <c r="BR677" s="180"/>
      <c r="BS677" s="180"/>
      <c r="BT677" s="180"/>
      <c r="BU677" s="180"/>
      <c r="BV677" s="180"/>
      <c r="BW677" s="180"/>
      <c r="BX677" s="180"/>
      <c r="BY677" s="180"/>
      <c r="BZ677" s="180"/>
      <c r="CA677" s="180"/>
      <c r="CB677" s="180"/>
      <c r="CC677" s="180"/>
      <c r="CD677" s="180"/>
      <c r="CE677" s="180"/>
      <c r="CF677" s="180"/>
      <c r="CG677" s="180"/>
      <c r="CH677" s="180"/>
      <c r="CI677" s="180"/>
      <c r="CJ677" s="180"/>
      <c r="CK677" s="180"/>
      <c r="CL677" s="180"/>
      <c r="CM677" s="180"/>
      <c r="CN677" s="180"/>
      <c r="CO677" s="180"/>
      <c r="CP677" s="180"/>
      <c r="CQ677" s="180"/>
      <c r="CR677" s="180"/>
      <c r="CS677" s="180"/>
      <c r="CT677" s="180"/>
      <c r="CU677" s="180"/>
      <c r="CV677" s="180"/>
      <c r="CW677" s="180"/>
      <c r="CX677" s="180"/>
      <c r="CY677" s="180"/>
      <c r="CZ677" s="180"/>
    </row>
    <row r="678" spans="1:104" x14ac:dyDescent="0.45">
      <c r="A678" s="180" t="s">
        <v>54</v>
      </c>
      <c r="B678" s="73">
        <v>7</v>
      </c>
      <c r="C678" s="73">
        <v>7</v>
      </c>
      <c r="D678" s="180" t="s">
        <v>128</v>
      </c>
      <c r="E678" s="39">
        <v>43595</v>
      </c>
      <c r="F678" s="179">
        <v>0.72986111111111107</v>
      </c>
      <c r="G678" s="180">
        <v>1</v>
      </c>
      <c r="H678" s="180"/>
      <c r="I678" s="180"/>
      <c r="J678" s="180"/>
      <c r="K678" s="180"/>
      <c r="L678" s="180"/>
      <c r="M678" s="180"/>
      <c r="N678" s="180"/>
      <c r="O678" s="180"/>
      <c r="P678" s="180"/>
      <c r="AS678" s="180"/>
      <c r="AT678" s="180"/>
      <c r="AU678" s="180"/>
      <c r="AV678" s="180"/>
      <c r="AW678" s="180"/>
      <c r="AX678" s="180"/>
      <c r="AY678" s="180"/>
      <c r="AZ678" s="180"/>
      <c r="BA678" s="180"/>
      <c r="BB678" s="180"/>
      <c r="BC678" s="180"/>
      <c r="BD678" s="180"/>
      <c r="BE678" s="180"/>
      <c r="BF678" s="180"/>
      <c r="BG678" s="180"/>
      <c r="BH678" s="180"/>
      <c r="BI678" s="180"/>
      <c r="BJ678" s="180"/>
      <c r="BK678" s="180"/>
      <c r="BL678" s="180"/>
      <c r="BM678" s="180"/>
      <c r="BN678" s="180"/>
      <c r="BO678" s="180"/>
      <c r="BP678" s="180"/>
      <c r="BQ678" s="180"/>
      <c r="BR678" s="180"/>
      <c r="BS678" s="180"/>
      <c r="BT678" s="180"/>
      <c r="BU678" s="180"/>
      <c r="BV678" s="180"/>
      <c r="BW678" s="180"/>
      <c r="BX678" s="180"/>
      <c r="BY678" s="180"/>
      <c r="BZ678" s="180"/>
      <c r="CA678" s="180"/>
      <c r="CB678" s="180"/>
      <c r="CC678" s="180"/>
      <c r="CD678" s="180"/>
      <c r="CE678" s="180"/>
      <c r="CF678" s="180"/>
      <c r="CG678" s="180"/>
      <c r="CH678" s="180"/>
      <c r="CI678" s="180"/>
      <c r="CJ678" s="180"/>
      <c r="CK678" s="180"/>
      <c r="CL678" s="180"/>
      <c r="CM678" s="180"/>
      <c r="CN678" s="180"/>
      <c r="CO678" s="180"/>
      <c r="CP678" s="180"/>
      <c r="CQ678" s="180"/>
      <c r="CR678" s="180"/>
      <c r="CS678" s="180"/>
      <c r="CT678" s="180"/>
      <c r="CU678" s="180"/>
      <c r="CV678" s="180"/>
      <c r="CW678" s="180"/>
      <c r="CX678" s="180"/>
      <c r="CY678" s="180"/>
      <c r="CZ678" s="180"/>
    </row>
    <row r="679" spans="1:104" x14ac:dyDescent="0.45">
      <c r="A679" s="180" t="s">
        <v>54</v>
      </c>
      <c r="B679" s="73">
        <v>1</v>
      </c>
      <c r="C679" s="73"/>
      <c r="D679" s="180" t="s">
        <v>128</v>
      </c>
      <c r="E679" s="39">
        <v>43595</v>
      </c>
      <c r="F679" s="179">
        <v>0.60069444444444442</v>
      </c>
      <c r="G679" s="180">
        <v>1</v>
      </c>
      <c r="H679" s="180"/>
      <c r="I679" s="180"/>
      <c r="J679" s="180"/>
      <c r="K679" s="180"/>
      <c r="L679" s="180"/>
      <c r="M679" s="180"/>
      <c r="N679" s="180"/>
      <c r="O679" s="180"/>
      <c r="P679" s="180"/>
      <c r="AS679" s="180"/>
      <c r="AT679" s="180"/>
      <c r="AU679" s="180"/>
      <c r="AV679" s="180"/>
      <c r="AW679" s="180"/>
      <c r="AX679" s="180"/>
      <c r="AY679" s="180"/>
      <c r="AZ679" s="180"/>
      <c r="BA679" s="180"/>
      <c r="BB679" s="180"/>
      <c r="BC679" s="180"/>
      <c r="BD679" s="180"/>
      <c r="BE679" s="180"/>
      <c r="BF679" s="180"/>
      <c r="BG679" s="180"/>
      <c r="BH679" s="180"/>
      <c r="BI679" s="180"/>
      <c r="BJ679" s="180"/>
      <c r="BK679" s="180"/>
      <c r="BL679" s="180"/>
      <c r="BM679" s="180"/>
      <c r="BN679" s="180"/>
      <c r="BO679" s="180"/>
      <c r="BP679" s="180"/>
      <c r="BQ679" s="180"/>
      <c r="BR679" s="180"/>
      <c r="BS679" s="180"/>
      <c r="BT679" s="180"/>
      <c r="BU679" s="180"/>
      <c r="BV679" s="180"/>
      <c r="BW679" s="180"/>
      <c r="BX679" s="180"/>
      <c r="BY679" s="180"/>
      <c r="BZ679" s="180"/>
      <c r="CA679" s="180"/>
      <c r="CB679" s="180"/>
      <c r="CC679" s="180"/>
      <c r="CD679" s="180"/>
      <c r="CE679" s="180"/>
      <c r="CF679" s="180"/>
      <c r="CG679" s="180"/>
      <c r="CH679" s="180"/>
      <c r="CI679" s="180"/>
      <c r="CJ679" s="180"/>
      <c r="CK679" s="180"/>
      <c r="CL679" s="180"/>
      <c r="CM679" s="180"/>
      <c r="CN679" s="180"/>
      <c r="CO679" s="180"/>
      <c r="CP679" s="180"/>
      <c r="CQ679" s="180"/>
      <c r="CR679" s="180"/>
      <c r="CS679" s="180"/>
      <c r="CT679" s="180"/>
      <c r="CU679" s="180"/>
      <c r="CV679" s="180"/>
      <c r="CW679" s="180"/>
      <c r="CX679" s="180"/>
      <c r="CY679" s="180"/>
      <c r="CZ679" s="180"/>
    </row>
    <row r="680" spans="1:104" s="2" customFormat="1" x14ac:dyDescent="0.45">
      <c r="A680" s="180" t="s">
        <v>54</v>
      </c>
      <c r="B680" s="73">
        <v>9</v>
      </c>
      <c r="C680" s="73">
        <v>9</v>
      </c>
      <c r="D680" s="180" t="s">
        <v>271</v>
      </c>
      <c r="E680" s="39">
        <v>43595</v>
      </c>
      <c r="F680" s="179">
        <v>0.625</v>
      </c>
      <c r="G680" s="180">
        <v>1</v>
      </c>
      <c r="H680" s="180"/>
      <c r="I680" s="180"/>
      <c r="J680" s="180"/>
      <c r="K680" s="180"/>
      <c r="L680" s="180"/>
      <c r="M680" s="180"/>
      <c r="N680" s="180"/>
      <c r="O680" s="180"/>
      <c r="P680" s="180"/>
      <c r="Q680"/>
      <c r="R680"/>
      <c r="S680"/>
      <c r="T680"/>
      <c r="U680"/>
      <c r="V680"/>
      <c r="W680"/>
      <c r="X680"/>
      <c r="Y680"/>
      <c r="Z680"/>
      <c r="AA680"/>
      <c r="AB680"/>
      <c r="AC680"/>
      <c r="AD680"/>
      <c r="AE680"/>
      <c r="AF680"/>
      <c r="AG680"/>
      <c r="AH680"/>
      <c r="AI680"/>
      <c r="AJ680"/>
      <c r="AK680"/>
      <c r="AL680"/>
      <c r="AM680"/>
      <c r="AN680"/>
      <c r="AO680"/>
      <c r="AP680"/>
      <c r="AQ680"/>
      <c r="AR680"/>
      <c r="AS680" s="180"/>
      <c r="AT680" s="180"/>
      <c r="AU680" s="180"/>
      <c r="AV680" s="180"/>
      <c r="AW680" s="180"/>
      <c r="AX680" s="180"/>
      <c r="AY680" s="180"/>
      <c r="AZ680" s="180"/>
      <c r="BA680" s="180"/>
      <c r="BB680" s="180"/>
      <c r="BC680" s="180"/>
      <c r="BD680" s="180"/>
      <c r="BE680" s="180"/>
      <c r="BF680" s="180"/>
      <c r="BG680" s="180"/>
      <c r="BH680" s="180"/>
      <c r="BI680" s="180"/>
      <c r="BJ680" s="180"/>
      <c r="BK680" s="180"/>
      <c r="BL680" s="180"/>
      <c r="BM680" s="180"/>
      <c r="BN680" s="180"/>
      <c r="BO680" s="180"/>
      <c r="BP680" s="180"/>
      <c r="BQ680" s="180"/>
      <c r="BR680" s="180"/>
      <c r="BS680" s="180"/>
      <c r="BT680" s="180"/>
      <c r="BU680" s="180"/>
      <c r="BV680" s="180"/>
      <c r="BW680" s="180"/>
      <c r="BX680" s="180"/>
      <c r="BY680" s="180"/>
      <c r="BZ680" s="180"/>
      <c r="CA680" s="180"/>
      <c r="CB680" s="180"/>
      <c r="CC680" s="180"/>
      <c r="CD680" s="180"/>
      <c r="CE680" s="180"/>
      <c r="CF680" s="180"/>
      <c r="CG680" s="180"/>
      <c r="CH680" s="180"/>
      <c r="CI680" s="180"/>
      <c r="CJ680" s="180"/>
      <c r="CK680" s="180"/>
      <c r="CL680" s="180"/>
      <c r="CM680" s="180"/>
      <c r="CN680" s="180"/>
      <c r="CO680" s="180"/>
      <c r="CP680" s="180"/>
      <c r="CQ680" s="180"/>
      <c r="CR680" s="180"/>
      <c r="CS680" s="180"/>
      <c r="CT680" s="180"/>
      <c r="CU680" s="180"/>
      <c r="CV680" s="180"/>
      <c r="CW680" s="180"/>
      <c r="CX680" s="180"/>
      <c r="CY680" s="180"/>
      <c r="CZ680" s="180"/>
    </row>
    <row r="681" spans="1:104" x14ac:dyDescent="0.45">
      <c r="A681" s="180" t="s">
        <v>54</v>
      </c>
      <c r="B681" s="73">
        <v>16</v>
      </c>
      <c r="C681" s="73"/>
      <c r="D681" s="180" t="s">
        <v>321</v>
      </c>
      <c r="E681" s="39">
        <v>43596</v>
      </c>
      <c r="F681" s="179">
        <v>0.36388888888888887</v>
      </c>
      <c r="G681" s="180">
        <v>1</v>
      </c>
      <c r="H681" s="180"/>
      <c r="I681" s="180"/>
      <c r="J681" s="180"/>
      <c r="K681" s="180"/>
      <c r="L681" s="180"/>
      <c r="M681" s="180"/>
      <c r="N681" s="180"/>
      <c r="O681" s="180"/>
      <c r="P681" s="180"/>
      <c r="AS681" s="180"/>
      <c r="AT681" s="180"/>
      <c r="AU681" s="180"/>
      <c r="AV681" s="180"/>
      <c r="AW681" s="180"/>
      <c r="AX681" s="180"/>
      <c r="AY681" s="180"/>
      <c r="AZ681" s="180"/>
      <c r="BA681" s="180"/>
      <c r="BB681" s="180"/>
      <c r="BC681" s="180"/>
      <c r="BD681" s="180"/>
      <c r="BE681" s="180"/>
      <c r="BF681" s="180"/>
      <c r="BG681" s="180"/>
      <c r="BH681" s="180"/>
      <c r="BI681" s="180"/>
      <c r="BJ681" s="180"/>
      <c r="BK681" s="180"/>
      <c r="BL681" s="180"/>
      <c r="BM681" s="180"/>
      <c r="BN681" s="180"/>
      <c r="BO681" s="180"/>
      <c r="BP681" s="180"/>
      <c r="BQ681" s="180"/>
      <c r="BR681" s="180"/>
      <c r="BS681" s="180"/>
      <c r="BT681" s="180"/>
      <c r="BU681" s="180"/>
      <c r="BV681" s="180"/>
      <c r="BW681" s="180"/>
      <c r="BX681" s="180"/>
      <c r="BY681" s="180"/>
      <c r="BZ681" s="180"/>
      <c r="CA681" s="180"/>
      <c r="CB681" s="180"/>
      <c r="CC681" s="180"/>
      <c r="CD681" s="180"/>
      <c r="CE681" s="180"/>
      <c r="CF681" s="180"/>
      <c r="CG681" s="180"/>
      <c r="CH681" s="180"/>
      <c r="CI681" s="180"/>
      <c r="CJ681" s="180"/>
      <c r="CK681" s="180"/>
      <c r="CL681" s="180"/>
      <c r="CM681" s="180"/>
      <c r="CN681" s="180"/>
      <c r="CO681" s="180"/>
      <c r="CP681" s="180"/>
      <c r="CQ681" s="180"/>
      <c r="CR681" s="180"/>
      <c r="CS681" s="180"/>
      <c r="CT681" s="180"/>
      <c r="CU681" s="180"/>
      <c r="CV681" s="180"/>
      <c r="CW681" s="180"/>
      <c r="CX681" s="180"/>
      <c r="CY681" s="180"/>
      <c r="CZ681" s="180"/>
    </row>
    <row r="682" spans="1:104" x14ac:dyDescent="0.45">
      <c r="A682" s="180" t="s">
        <v>54</v>
      </c>
      <c r="B682" s="73">
        <v>25</v>
      </c>
      <c r="C682" s="73">
        <v>25</v>
      </c>
      <c r="D682" s="180" t="s">
        <v>332</v>
      </c>
      <c r="E682" s="39">
        <v>43596</v>
      </c>
      <c r="F682" s="179">
        <v>0.32777777777777778</v>
      </c>
      <c r="G682" s="180">
        <v>4</v>
      </c>
      <c r="H682" s="180"/>
      <c r="I682" s="180"/>
      <c r="J682" s="180"/>
      <c r="K682" s="180"/>
      <c r="L682" s="180"/>
      <c r="M682" s="180"/>
      <c r="N682" s="180"/>
      <c r="O682" s="180"/>
      <c r="P682" s="180"/>
      <c r="AS682" s="180"/>
      <c r="AT682" s="180"/>
      <c r="AU682" s="180"/>
      <c r="AV682" s="180"/>
      <c r="AW682" s="180"/>
      <c r="AX682" s="180"/>
      <c r="AY682" s="180"/>
      <c r="AZ682" s="180"/>
      <c r="BA682" s="180"/>
      <c r="BB682" s="180"/>
      <c r="BC682" s="180"/>
      <c r="BD682" s="180"/>
      <c r="BE682" s="180"/>
      <c r="BF682" s="180"/>
      <c r="BG682" s="180"/>
      <c r="BH682" s="180"/>
      <c r="BI682" s="180"/>
      <c r="BJ682" s="180"/>
      <c r="BK682" s="180"/>
      <c r="BL682" s="180"/>
      <c r="BM682" s="180"/>
      <c r="BN682" s="180"/>
      <c r="BO682" s="180"/>
      <c r="BP682" s="180"/>
      <c r="BQ682" s="180"/>
      <c r="BR682" s="180"/>
      <c r="BS682" s="180"/>
      <c r="BT682" s="180"/>
      <c r="BU682" s="180"/>
      <c r="BV682" s="180"/>
      <c r="BW682" s="180"/>
      <c r="BX682" s="180"/>
      <c r="BY682" s="180"/>
      <c r="BZ682" s="180"/>
      <c r="CA682" s="180"/>
      <c r="CB682" s="180"/>
      <c r="CC682" s="180"/>
      <c r="CD682" s="180"/>
      <c r="CE682" s="180"/>
      <c r="CF682" s="180"/>
      <c r="CG682" s="180"/>
      <c r="CH682" s="180"/>
      <c r="CI682" s="180"/>
      <c r="CJ682" s="180"/>
      <c r="CK682" s="180"/>
      <c r="CL682" s="180"/>
      <c r="CM682" s="180"/>
      <c r="CN682" s="180"/>
      <c r="CO682" s="180"/>
      <c r="CP682" s="180"/>
      <c r="CQ682" s="180"/>
      <c r="CR682" s="180"/>
      <c r="CS682" s="180"/>
      <c r="CT682" s="180"/>
      <c r="CU682" s="180"/>
      <c r="CV682" s="180"/>
      <c r="CW682" s="180"/>
      <c r="CX682" s="180"/>
      <c r="CY682" s="180"/>
      <c r="CZ682" s="180"/>
    </row>
    <row r="683" spans="1:104" s="2" customFormat="1" x14ac:dyDescent="0.45">
      <c r="A683" s="180" t="s">
        <v>54</v>
      </c>
      <c r="B683" s="73">
        <v>25</v>
      </c>
      <c r="C683" s="73"/>
      <c r="D683" s="180" t="s">
        <v>332</v>
      </c>
      <c r="E683" s="39">
        <v>43596</v>
      </c>
      <c r="F683" s="179">
        <v>0.32777777777777778</v>
      </c>
      <c r="G683" s="180">
        <v>4</v>
      </c>
      <c r="H683" s="180"/>
      <c r="I683" s="180" t="s">
        <v>483</v>
      </c>
      <c r="J683" s="180"/>
      <c r="K683" s="180"/>
      <c r="L683" s="180"/>
      <c r="M683" s="180"/>
      <c r="N683" s="180"/>
      <c r="O683" s="180"/>
      <c r="P683" s="180"/>
      <c r="Q683"/>
      <c r="R683"/>
      <c r="S683"/>
      <c r="T683"/>
      <c r="U683"/>
      <c r="V683"/>
      <c r="W683"/>
      <c r="X683"/>
      <c r="Y683"/>
      <c r="Z683"/>
      <c r="AA683"/>
      <c r="AB683"/>
      <c r="AC683"/>
      <c r="AD683"/>
      <c r="AE683"/>
      <c r="AF683"/>
      <c r="AG683"/>
      <c r="AH683"/>
      <c r="AI683"/>
      <c r="AJ683"/>
      <c r="AK683"/>
      <c r="AL683"/>
      <c r="AM683"/>
      <c r="AN683"/>
      <c r="AO683"/>
      <c r="AP683"/>
      <c r="AQ683"/>
      <c r="AR683"/>
      <c r="AS683" s="180"/>
      <c r="AT683" s="180"/>
      <c r="AU683" s="180"/>
      <c r="AV683" s="180"/>
      <c r="AW683" s="180"/>
      <c r="AX683" s="180"/>
      <c r="AY683" s="180"/>
      <c r="AZ683" s="180"/>
      <c r="BA683" s="180"/>
      <c r="BB683" s="180"/>
      <c r="BC683" s="180"/>
      <c r="BD683" s="180"/>
      <c r="BE683" s="180"/>
      <c r="BF683" s="180"/>
      <c r="BG683" s="180"/>
      <c r="BH683" s="180"/>
      <c r="BI683" s="180"/>
      <c r="BJ683" s="180"/>
      <c r="BK683" s="180"/>
      <c r="BL683" s="180"/>
      <c r="BM683" s="180"/>
      <c r="BN683" s="180"/>
      <c r="BO683" s="180"/>
      <c r="BP683" s="180"/>
      <c r="BQ683" s="180"/>
      <c r="BR683" s="180"/>
      <c r="BS683" s="180"/>
      <c r="BT683" s="180"/>
      <c r="BU683" s="180"/>
      <c r="BV683" s="180"/>
      <c r="BW683" s="180"/>
      <c r="BX683" s="180"/>
      <c r="BY683" s="180"/>
      <c r="BZ683" s="180"/>
      <c r="CA683" s="180"/>
      <c r="CB683" s="180"/>
      <c r="CC683" s="180"/>
      <c r="CD683" s="180"/>
      <c r="CE683" s="180"/>
      <c r="CF683" s="180"/>
      <c r="CG683" s="180"/>
      <c r="CH683" s="180"/>
      <c r="CI683" s="180"/>
      <c r="CJ683" s="180"/>
      <c r="CK683" s="180"/>
      <c r="CL683" s="180"/>
      <c r="CM683" s="180"/>
      <c r="CN683" s="180"/>
      <c r="CO683" s="180"/>
      <c r="CP683" s="180"/>
      <c r="CQ683" s="180"/>
      <c r="CR683" s="180"/>
      <c r="CS683" s="180"/>
      <c r="CT683" s="180"/>
      <c r="CU683" s="180"/>
      <c r="CV683" s="180"/>
      <c r="CW683" s="180"/>
      <c r="CX683" s="180"/>
      <c r="CY683" s="180"/>
      <c r="CZ683" s="180"/>
    </row>
    <row r="684" spans="1:104" x14ac:dyDescent="0.45">
      <c r="A684" s="180" t="s">
        <v>54</v>
      </c>
      <c r="B684" s="73">
        <v>3</v>
      </c>
      <c r="C684" s="73"/>
      <c r="D684" s="180" t="s">
        <v>309</v>
      </c>
      <c r="E684" s="39">
        <v>43596</v>
      </c>
      <c r="F684" s="179">
        <v>0.81041666666666667</v>
      </c>
      <c r="G684" s="180">
        <v>1</v>
      </c>
      <c r="H684" s="180"/>
      <c r="I684" s="180" t="s">
        <v>484</v>
      </c>
      <c r="J684" s="180"/>
      <c r="K684" s="180"/>
      <c r="L684" s="180"/>
      <c r="M684" s="180"/>
      <c r="N684" s="180"/>
      <c r="O684" s="180"/>
      <c r="P684" s="180"/>
      <c r="AS684" s="180"/>
      <c r="AT684" s="180"/>
      <c r="AU684" s="180"/>
      <c r="AV684" s="180"/>
      <c r="AW684" s="180"/>
      <c r="AX684" s="180"/>
      <c r="AY684" s="180"/>
      <c r="AZ684" s="180"/>
      <c r="BA684" s="180"/>
      <c r="BB684" s="180"/>
      <c r="BC684" s="180"/>
      <c r="BD684" s="180"/>
      <c r="BE684" s="180"/>
      <c r="BF684" s="180"/>
      <c r="BG684" s="180"/>
      <c r="BH684" s="180"/>
      <c r="BI684" s="180"/>
      <c r="BJ684" s="180"/>
      <c r="BK684" s="180"/>
      <c r="BL684" s="180"/>
      <c r="BM684" s="180"/>
      <c r="BN684" s="180"/>
      <c r="BO684" s="180"/>
      <c r="BP684" s="180"/>
      <c r="BQ684" s="180"/>
      <c r="BR684" s="180"/>
      <c r="BS684" s="180"/>
      <c r="BT684" s="180"/>
      <c r="BU684" s="180"/>
      <c r="BV684" s="180"/>
      <c r="BW684" s="180"/>
      <c r="BX684" s="180"/>
      <c r="BY684" s="180"/>
      <c r="BZ684" s="180"/>
      <c r="CA684" s="180"/>
      <c r="CB684" s="180"/>
      <c r="CC684" s="180"/>
      <c r="CD684" s="180"/>
      <c r="CE684" s="180"/>
      <c r="CF684" s="180"/>
      <c r="CG684" s="180"/>
      <c r="CH684" s="180"/>
      <c r="CI684" s="180"/>
      <c r="CJ684" s="180"/>
      <c r="CK684" s="180"/>
      <c r="CL684" s="180"/>
      <c r="CM684" s="180"/>
      <c r="CN684" s="180"/>
      <c r="CO684" s="180"/>
      <c r="CP684" s="180"/>
      <c r="CQ684" s="180"/>
      <c r="CR684" s="180"/>
      <c r="CS684" s="180"/>
      <c r="CT684" s="180"/>
      <c r="CU684" s="180"/>
      <c r="CV684" s="180"/>
      <c r="CW684" s="180"/>
      <c r="CX684" s="180"/>
      <c r="CY684" s="180"/>
      <c r="CZ684" s="180"/>
    </row>
    <row r="685" spans="1:104" s="2" customFormat="1" x14ac:dyDescent="0.45">
      <c r="A685" s="180" t="s">
        <v>54</v>
      </c>
      <c r="B685" s="73">
        <v>20</v>
      </c>
      <c r="C685" s="73">
        <v>20</v>
      </c>
      <c r="D685" s="180" t="s">
        <v>309</v>
      </c>
      <c r="E685" s="39">
        <v>43596</v>
      </c>
      <c r="F685" s="179">
        <v>0.32569444444444445</v>
      </c>
      <c r="G685" s="180">
        <v>3</v>
      </c>
      <c r="H685" s="180" t="s">
        <v>361</v>
      </c>
      <c r="I685" s="180"/>
      <c r="J685" s="180"/>
      <c r="K685" s="180"/>
      <c r="L685" s="180"/>
      <c r="M685" s="180"/>
      <c r="N685" s="180"/>
      <c r="O685" s="180"/>
      <c r="P685" s="180"/>
      <c r="Q685"/>
      <c r="R685"/>
      <c r="S685"/>
      <c r="T685"/>
      <c r="U685"/>
      <c r="V685"/>
      <c r="W685"/>
      <c r="X685"/>
      <c r="Y685"/>
      <c r="Z685"/>
      <c r="AA685"/>
      <c r="AB685"/>
      <c r="AC685"/>
      <c r="AD685"/>
      <c r="AE685"/>
      <c r="AF685"/>
      <c r="AG685"/>
      <c r="AH685"/>
      <c r="AI685"/>
      <c r="AJ685"/>
      <c r="AK685"/>
      <c r="AL685"/>
      <c r="AM685"/>
      <c r="AN685"/>
      <c r="AO685"/>
      <c r="AP685"/>
      <c r="AQ685"/>
      <c r="AR685"/>
      <c r="AS685" s="180"/>
      <c r="AT685" s="180"/>
      <c r="AU685" s="180"/>
      <c r="AV685" s="180"/>
      <c r="AW685" s="180"/>
      <c r="AX685" s="180"/>
      <c r="AY685" s="180"/>
      <c r="AZ685" s="180"/>
      <c r="BA685" s="180"/>
      <c r="BB685" s="180"/>
      <c r="BC685" s="180"/>
      <c r="BD685" s="180"/>
      <c r="BE685" s="180"/>
      <c r="BF685" s="180"/>
      <c r="BG685" s="180"/>
      <c r="BH685" s="180"/>
      <c r="BI685" s="180"/>
      <c r="BJ685" s="180"/>
      <c r="BK685" s="180"/>
      <c r="BL685" s="180"/>
      <c r="BM685" s="180"/>
      <c r="BN685" s="180"/>
      <c r="BO685" s="180"/>
      <c r="BP685" s="180"/>
      <c r="BQ685" s="180"/>
      <c r="BR685" s="180"/>
      <c r="BS685" s="180"/>
      <c r="BT685" s="180"/>
      <c r="BU685" s="180"/>
      <c r="BV685" s="180"/>
      <c r="BW685" s="180"/>
      <c r="BX685" s="180"/>
      <c r="BY685" s="180"/>
      <c r="BZ685" s="180"/>
      <c r="CA685" s="180"/>
      <c r="CB685" s="180"/>
      <c r="CC685" s="180"/>
      <c r="CD685" s="180"/>
      <c r="CE685" s="180"/>
      <c r="CF685" s="180"/>
      <c r="CG685" s="180"/>
      <c r="CH685" s="180"/>
      <c r="CI685" s="180"/>
      <c r="CJ685" s="180"/>
      <c r="CK685" s="180"/>
      <c r="CL685" s="180"/>
      <c r="CM685" s="180"/>
      <c r="CN685" s="180"/>
      <c r="CO685" s="180"/>
      <c r="CP685" s="180"/>
      <c r="CQ685" s="180"/>
      <c r="CR685" s="180"/>
      <c r="CS685" s="180"/>
      <c r="CT685" s="180"/>
      <c r="CU685" s="180"/>
      <c r="CV685" s="180"/>
      <c r="CW685" s="180"/>
      <c r="CX685" s="180"/>
      <c r="CY685" s="180"/>
      <c r="CZ685" s="180"/>
    </row>
    <row r="686" spans="1:104" x14ac:dyDescent="0.45">
      <c r="A686" s="180" t="s">
        <v>54</v>
      </c>
      <c r="B686" s="73">
        <v>15</v>
      </c>
      <c r="C686" s="73"/>
      <c r="D686" s="180" t="s">
        <v>309</v>
      </c>
      <c r="E686" s="39">
        <v>43596</v>
      </c>
      <c r="F686" s="179">
        <v>0.32291666666666669</v>
      </c>
      <c r="G686" s="180">
        <v>1</v>
      </c>
      <c r="H686" s="180" t="s">
        <v>364</v>
      </c>
      <c r="I686" s="180"/>
      <c r="J686" s="180"/>
      <c r="K686" s="180"/>
      <c r="L686" s="180"/>
      <c r="M686" s="180"/>
      <c r="N686" s="180"/>
      <c r="O686" s="180"/>
      <c r="P686" s="180"/>
      <c r="AS686" s="180"/>
      <c r="AT686" s="180"/>
      <c r="AU686" s="180"/>
      <c r="AV686" s="180"/>
      <c r="AW686" s="180"/>
      <c r="AX686" s="180"/>
      <c r="AY686" s="180"/>
      <c r="AZ686" s="180"/>
      <c r="BA686" s="180"/>
      <c r="BB686" s="180"/>
      <c r="BC686" s="180"/>
      <c r="BD686" s="180"/>
      <c r="BE686" s="180"/>
      <c r="BF686" s="180"/>
      <c r="BG686" s="180"/>
      <c r="BH686" s="180"/>
      <c r="BI686" s="180"/>
      <c r="BJ686" s="180"/>
      <c r="BK686" s="180"/>
      <c r="BL686" s="180"/>
      <c r="BM686" s="180"/>
      <c r="BN686" s="180"/>
      <c r="BO686" s="180"/>
      <c r="BP686" s="180"/>
      <c r="BQ686" s="180"/>
      <c r="BR686" s="180"/>
      <c r="BS686" s="180"/>
      <c r="BT686" s="180"/>
      <c r="BU686" s="180"/>
      <c r="BV686" s="180"/>
      <c r="BW686" s="180"/>
      <c r="BX686" s="180"/>
      <c r="BY686" s="180"/>
      <c r="BZ686" s="180"/>
      <c r="CA686" s="180"/>
      <c r="CB686" s="180"/>
      <c r="CC686" s="180"/>
      <c r="CD686" s="180"/>
      <c r="CE686" s="180"/>
      <c r="CF686" s="180"/>
      <c r="CG686" s="180"/>
      <c r="CH686" s="180"/>
      <c r="CI686" s="180"/>
      <c r="CJ686" s="180"/>
      <c r="CK686" s="180"/>
      <c r="CL686" s="180"/>
      <c r="CM686" s="180"/>
      <c r="CN686" s="180"/>
      <c r="CO686" s="180"/>
      <c r="CP686" s="180"/>
      <c r="CQ686" s="180"/>
      <c r="CR686" s="180"/>
      <c r="CS686" s="180"/>
      <c r="CT686" s="180"/>
      <c r="CU686" s="180"/>
      <c r="CV686" s="180"/>
      <c r="CW686" s="180"/>
      <c r="CX686" s="180"/>
      <c r="CY686" s="180"/>
      <c r="CZ686" s="180"/>
    </row>
    <row r="687" spans="1:104" s="2" customFormat="1" x14ac:dyDescent="0.45">
      <c r="A687" s="180" t="s">
        <v>54</v>
      </c>
      <c r="B687" s="73">
        <v>2</v>
      </c>
      <c r="C687" s="73"/>
      <c r="D687" s="180" t="s">
        <v>309</v>
      </c>
      <c r="E687" s="39">
        <v>43596</v>
      </c>
      <c r="F687" s="179">
        <v>0.79513888888888884</v>
      </c>
      <c r="G687" s="180">
        <v>1</v>
      </c>
      <c r="H687" s="180" t="s">
        <v>387</v>
      </c>
      <c r="I687" s="180"/>
      <c r="J687" s="180"/>
      <c r="K687" s="180"/>
      <c r="L687" s="180"/>
      <c r="M687" s="180"/>
      <c r="N687" s="180"/>
      <c r="O687" s="180"/>
      <c r="P687" s="180"/>
      <c r="Q687"/>
      <c r="R687"/>
      <c r="S687"/>
      <c r="T687"/>
      <c r="U687"/>
      <c r="V687"/>
      <c r="W687"/>
      <c r="X687"/>
      <c r="Y687"/>
      <c r="Z687"/>
      <c r="AA687"/>
      <c r="AB687"/>
      <c r="AC687"/>
      <c r="AD687"/>
      <c r="AE687"/>
      <c r="AF687"/>
      <c r="AG687"/>
      <c r="AH687"/>
      <c r="AI687"/>
      <c r="AJ687"/>
      <c r="AK687"/>
      <c r="AL687"/>
      <c r="AM687"/>
      <c r="AN687"/>
      <c r="AO687"/>
      <c r="AP687"/>
      <c r="AQ687"/>
      <c r="AR687"/>
      <c r="AS687" s="180"/>
      <c r="AT687" s="180"/>
      <c r="AU687" s="180"/>
      <c r="AV687" s="180"/>
      <c r="AW687" s="180"/>
      <c r="AX687" s="180"/>
      <c r="AY687" s="180"/>
      <c r="AZ687" s="180"/>
      <c r="BA687" s="180"/>
      <c r="BB687" s="180"/>
      <c r="BC687" s="180"/>
      <c r="BD687" s="180"/>
      <c r="BE687" s="180"/>
      <c r="BF687" s="180"/>
      <c r="BG687" s="180"/>
      <c r="BH687" s="180"/>
      <c r="BI687" s="180"/>
      <c r="BJ687" s="180"/>
      <c r="BK687" s="180"/>
      <c r="BL687" s="180"/>
      <c r="BM687" s="180"/>
      <c r="BN687" s="180"/>
      <c r="BO687" s="180"/>
      <c r="BP687" s="180"/>
      <c r="BQ687" s="180"/>
      <c r="BR687" s="180"/>
      <c r="BS687" s="180"/>
      <c r="BT687" s="180"/>
      <c r="BU687" s="180"/>
      <c r="BV687" s="180"/>
      <c r="BW687" s="180"/>
      <c r="BX687" s="180"/>
      <c r="BY687" s="180"/>
      <c r="BZ687" s="180"/>
      <c r="CA687" s="180"/>
      <c r="CB687" s="180"/>
      <c r="CC687" s="180"/>
      <c r="CD687" s="180"/>
      <c r="CE687" s="180"/>
      <c r="CF687" s="180"/>
      <c r="CG687" s="180"/>
      <c r="CH687" s="180"/>
      <c r="CI687" s="180"/>
      <c r="CJ687" s="180"/>
      <c r="CK687" s="180"/>
      <c r="CL687" s="180"/>
      <c r="CM687" s="180"/>
      <c r="CN687" s="180"/>
      <c r="CO687" s="180"/>
      <c r="CP687" s="180"/>
      <c r="CQ687" s="180"/>
      <c r="CR687" s="180"/>
      <c r="CS687" s="180"/>
      <c r="CT687" s="180"/>
      <c r="CU687" s="180"/>
      <c r="CV687" s="180"/>
      <c r="CW687" s="180"/>
      <c r="CX687" s="180"/>
      <c r="CY687" s="180"/>
      <c r="CZ687" s="180"/>
    </row>
    <row r="688" spans="1:104" x14ac:dyDescent="0.45">
      <c r="A688" s="180" t="s">
        <v>54</v>
      </c>
      <c r="B688" s="73">
        <v>4</v>
      </c>
      <c r="C688" s="73"/>
      <c r="D688" s="180" t="s">
        <v>309</v>
      </c>
      <c r="E688" s="39">
        <v>43596</v>
      </c>
      <c r="F688" s="179">
        <v>0.28472222222222221</v>
      </c>
      <c r="G688" s="180">
        <v>1</v>
      </c>
      <c r="H688" s="180"/>
      <c r="I688" s="180"/>
      <c r="J688" s="180"/>
      <c r="K688" s="180"/>
      <c r="L688" s="180"/>
      <c r="M688" s="180"/>
      <c r="N688" s="180"/>
      <c r="O688" s="180"/>
      <c r="P688" s="180"/>
      <c r="AS688" s="180"/>
      <c r="AT688" s="180"/>
      <c r="AU688" s="180"/>
      <c r="AV688" s="180"/>
      <c r="AW688" s="180"/>
      <c r="AX688" s="180"/>
      <c r="AY688" s="180"/>
      <c r="AZ688" s="180"/>
      <c r="BA688" s="180"/>
      <c r="BB688" s="180"/>
      <c r="BC688" s="180"/>
      <c r="BD688" s="180"/>
      <c r="BE688" s="180"/>
      <c r="BF688" s="180"/>
      <c r="BG688" s="180"/>
      <c r="BH688" s="180"/>
      <c r="BI688" s="180"/>
      <c r="BJ688" s="180"/>
      <c r="BK688" s="180"/>
      <c r="BL688" s="180"/>
      <c r="BM688" s="180"/>
      <c r="BN688" s="180"/>
      <c r="BO688" s="180"/>
      <c r="BP688" s="180"/>
      <c r="BQ688" s="180"/>
      <c r="BR688" s="180"/>
      <c r="BS688" s="180"/>
      <c r="BT688" s="180"/>
      <c r="BU688" s="180"/>
      <c r="BV688" s="180"/>
      <c r="BW688" s="180"/>
      <c r="BX688" s="180"/>
      <c r="BY688" s="180"/>
      <c r="BZ688" s="180"/>
      <c r="CA688" s="180"/>
      <c r="CB688" s="180"/>
      <c r="CC688" s="180"/>
      <c r="CD688" s="180"/>
      <c r="CE688" s="180"/>
      <c r="CF688" s="180"/>
      <c r="CG688" s="180"/>
      <c r="CH688" s="180"/>
      <c r="CI688" s="180"/>
      <c r="CJ688" s="180"/>
      <c r="CK688" s="180"/>
      <c r="CL688" s="180"/>
      <c r="CM688" s="180"/>
      <c r="CN688" s="180"/>
      <c r="CO688" s="180"/>
      <c r="CP688" s="180"/>
      <c r="CQ688" s="180"/>
      <c r="CR688" s="180"/>
      <c r="CS688" s="180"/>
      <c r="CT688" s="180"/>
      <c r="CU688" s="180"/>
      <c r="CV688" s="180"/>
      <c r="CW688" s="180"/>
      <c r="CX688" s="180"/>
      <c r="CY688" s="180"/>
      <c r="CZ688" s="180"/>
    </row>
    <row r="689" spans="1:104" s="2" customFormat="1" x14ac:dyDescent="0.45">
      <c r="A689" s="180" t="s">
        <v>54</v>
      </c>
      <c r="B689" s="73">
        <v>2</v>
      </c>
      <c r="C689" s="73"/>
      <c r="D689" s="180" t="s">
        <v>309</v>
      </c>
      <c r="E689" s="39">
        <v>43596</v>
      </c>
      <c r="F689" s="179">
        <v>0.32291666666666669</v>
      </c>
      <c r="G689" s="180">
        <v>5</v>
      </c>
      <c r="H689" s="180"/>
      <c r="I689" s="180"/>
      <c r="J689" s="180"/>
      <c r="K689" s="180"/>
      <c r="L689" s="180"/>
      <c r="M689" s="180"/>
      <c r="N689" s="180"/>
      <c r="O689" s="180"/>
      <c r="P689" s="180"/>
      <c r="Q689"/>
      <c r="R689"/>
      <c r="S689"/>
      <c r="T689"/>
      <c r="U689"/>
      <c r="V689"/>
      <c r="W689"/>
      <c r="X689"/>
      <c r="Y689"/>
      <c r="Z689"/>
      <c r="AA689"/>
      <c r="AB689"/>
      <c r="AC689"/>
      <c r="AD689"/>
      <c r="AE689"/>
      <c r="AF689"/>
      <c r="AG689"/>
      <c r="AH689"/>
      <c r="AI689"/>
      <c r="AJ689"/>
      <c r="AK689"/>
      <c r="AL689"/>
      <c r="AM689"/>
      <c r="AN689"/>
      <c r="AO689"/>
      <c r="AP689"/>
      <c r="AQ689"/>
      <c r="AR689"/>
      <c r="AS689" s="180"/>
      <c r="AT689" s="180"/>
      <c r="AU689" s="180"/>
      <c r="AV689" s="180"/>
      <c r="AW689" s="180"/>
      <c r="AX689" s="180"/>
      <c r="AY689" s="180"/>
      <c r="AZ689" s="180"/>
      <c r="BA689" s="180"/>
      <c r="BB689" s="180"/>
      <c r="BC689" s="180"/>
      <c r="BD689" s="180"/>
      <c r="BE689" s="180"/>
      <c r="BF689" s="180"/>
      <c r="BG689" s="180"/>
      <c r="BH689" s="180"/>
      <c r="BI689" s="180"/>
      <c r="BJ689" s="180"/>
      <c r="BK689" s="180"/>
      <c r="BL689" s="180"/>
      <c r="BM689" s="180"/>
      <c r="BN689" s="180"/>
      <c r="BO689" s="180"/>
      <c r="BP689" s="180"/>
      <c r="BQ689" s="180"/>
      <c r="BR689" s="180"/>
      <c r="BS689" s="180"/>
      <c r="BT689" s="180"/>
      <c r="BU689" s="180"/>
      <c r="BV689" s="180"/>
      <c r="BW689" s="180"/>
      <c r="BX689" s="180"/>
      <c r="BY689" s="180"/>
      <c r="BZ689" s="180"/>
      <c r="CA689" s="180"/>
      <c r="CB689" s="180"/>
      <c r="CC689" s="180"/>
      <c r="CD689" s="180"/>
      <c r="CE689" s="180"/>
      <c r="CF689" s="180"/>
      <c r="CG689" s="180"/>
      <c r="CH689" s="180"/>
      <c r="CI689" s="180"/>
      <c r="CJ689" s="180"/>
      <c r="CK689" s="180"/>
      <c r="CL689" s="180"/>
      <c r="CM689" s="180"/>
      <c r="CN689" s="180"/>
      <c r="CO689" s="180"/>
      <c r="CP689" s="180"/>
      <c r="CQ689" s="180"/>
      <c r="CR689" s="180"/>
      <c r="CS689" s="180"/>
      <c r="CT689" s="180"/>
      <c r="CU689" s="180"/>
      <c r="CV689" s="180"/>
      <c r="CW689" s="180"/>
      <c r="CX689" s="180"/>
      <c r="CY689" s="180"/>
      <c r="CZ689" s="180"/>
    </row>
    <row r="690" spans="1:104" x14ac:dyDescent="0.45">
      <c r="A690" s="180" t="s">
        <v>54</v>
      </c>
      <c r="B690" s="73">
        <v>6</v>
      </c>
      <c r="C690" s="73"/>
      <c r="D690" s="180" t="s">
        <v>309</v>
      </c>
      <c r="E690" s="39">
        <v>43596</v>
      </c>
      <c r="F690" s="179">
        <v>0.3347222222222222</v>
      </c>
      <c r="G690" s="180">
        <v>1</v>
      </c>
      <c r="H690" s="180"/>
      <c r="I690" s="180"/>
      <c r="J690" s="180"/>
      <c r="K690" s="180"/>
      <c r="L690" s="180"/>
      <c r="M690" s="180"/>
      <c r="N690" s="180"/>
      <c r="O690" s="180"/>
      <c r="P690" s="180"/>
      <c r="AS690" s="180"/>
      <c r="AT690" s="180"/>
      <c r="AU690" s="180"/>
      <c r="AV690" s="180"/>
      <c r="AW690" s="180"/>
      <c r="AX690" s="180"/>
      <c r="AY690" s="180"/>
      <c r="AZ690" s="180"/>
      <c r="BA690" s="180"/>
      <c r="BB690" s="180"/>
      <c r="BC690" s="180"/>
      <c r="BD690" s="180"/>
      <c r="BE690" s="180"/>
      <c r="BF690" s="180"/>
      <c r="BG690" s="180"/>
      <c r="BH690" s="180"/>
      <c r="BI690" s="180"/>
      <c r="BJ690" s="180"/>
      <c r="BK690" s="180"/>
      <c r="BL690" s="180"/>
      <c r="BM690" s="180"/>
      <c r="BN690" s="180"/>
      <c r="BO690" s="180"/>
      <c r="BP690" s="180"/>
      <c r="BQ690" s="180"/>
      <c r="BR690" s="180"/>
      <c r="BS690" s="180"/>
      <c r="BT690" s="180"/>
      <c r="BU690" s="180"/>
      <c r="BV690" s="180"/>
      <c r="BW690" s="180"/>
      <c r="BX690" s="180"/>
      <c r="BY690" s="180"/>
      <c r="BZ690" s="180"/>
      <c r="CA690" s="180"/>
      <c r="CB690" s="180"/>
      <c r="CC690" s="180"/>
      <c r="CD690" s="180"/>
      <c r="CE690" s="180"/>
      <c r="CF690" s="180"/>
      <c r="CG690" s="180"/>
      <c r="CH690" s="180"/>
      <c r="CI690" s="180"/>
      <c r="CJ690" s="180"/>
      <c r="CK690" s="180"/>
      <c r="CL690" s="180"/>
      <c r="CM690" s="180"/>
      <c r="CN690" s="180"/>
      <c r="CO690" s="180"/>
      <c r="CP690" s="180"/>
      <c r="CQ690" s="180"/>
      <c r="CR690" s="180"/>
      <c r="CS690" s="180"/>
      <c r="CT690" s="180"/>
      <c r="CU690" s="180"/>
      <c r="CV690" s="180"/>
      <c r="CW690" s="180"/>
      <c r="CX690" s="180"/>
      <c r="CY690" s="180"/>
      <c r="CZ690" s="180"/>
    </row>
    <row r="691" spans="1:104" x14ac:dyDescent="0.45">
      <c r="A691" s="180" t="s">
        <v>54</v>
      </c>
      <c r="B691" s="73">
        <v>2</v>
      </c>
      <c r="C691" s="73"/>
      <c r="D691" s="180" t="s">
        <v>376</v>
      </c>
      <c r="E691" s="39">
        <v>43596</v>
      </c>
      <c r="F691" s="179">
        <v>0.36388888888888887</v>
      </c>
      <c r="G691" s="180">
        <v>2</v>
      </c>
      <c r="H691" s="180"/>
      <c r="I691" s="180"/>
      <c r="J691" s="180"/>
      <c r="K691" s="180"/>
      <c r="L691" s="180"/>
      <c r="M691" s="180"/>
      <c r="N691" s="180"/>
      <c r="O691" s="180"/>
      <c r="P691" s="180"/>
      <c r="AS691" s="180"/>
      <c r="AT691" s="180"/>
      <c r="AU691" s="180"/>
      <c r="AV691" s="180"/>
      <c r="AW691" s="180"/>
      <c r="AX691" s="180"/>
      <c r="AY691" s="180"/>
      <c r="AZ691" s="180"/>
      <c r="BA691" s="180"/>
      <c r="BB691" s="180"/>
      <c r="BC691" s="180"/>
      <c r="BD691" s="180"/>
      <c r="BE691" s="180"/>
      <c r="BF691" s="180"/>
      <c r="BG691" s="180"/>
      <c r="BH691" s="180"/>
      <c r="BI691" s="180"/>
      <c r="BJ691" s="180"/>
      <c r="BK691" s="180"/>
      <c r="BL691" s="180"/>
      <c r="BM691" s="180"/>
      <c r="BN691" s="180"/>
      <c r="BO691" s="180"/>
      <c r="BP691" s="180"/>
      <c r="BQ691" s="180"/>
      <c r="BR691" s="180"/>
      <c r="BS691" s="180"/>
      <c r="BT691" s="180"/>
      <c r="BU691" s="180"/>
      <c r="BV691" s="180"/>
      <c r="BW691" s="180"/>
      <c r="BX691" s="180"/>
      <c r="BY691" s="180"/>
      <c r="BZ691" s="180"/>
      <c r="CA691" s="180"/>
      <c r="CB691" s="180"/>
      <c r="CC691" s="180"/>
      <c r="CD691" s="180"/>
      <c r="CE691" s="180"/>
      <c r="CF691" s="180"/>
      <c r="CG691" s="180"/>
      <c r="CH691" s="180"/>
      <c r="CI691" s="180"/>
      <c r="CJ691" s="180"/>
      <c r="CK691" s="180"/>
      <c r="CL691" s="180"/>
      <c r="CM691" s="180"/>
      <c r="CN691" s="180"/>
      <c r="CO691" s="180"/>
      <c r="CP691" s="180"/>
      <c r="CQ691" s="180"/>
      <c r="CR691" s="180"/>
      <c r="CS691" s="180"/>
      <c r="CT691" s="180"/>
      <c r="CU691" s="180"/>
      <c r="CV691" s="180"/>
      <c r="CW691" s="180"/>
      <c r="CX691" s="180"/>
      <c r="CY691" s="180"/>
      <c r="CZ691" s="180"/>
    </row>
    <row r="692" spans="1:104" x14ac:dyDescent="0.45">
      <c r="A692" s="180" t="s">
        <v>54</v>
      </c>
      <c r="B692" s="73">
        <v>11</v>
      </c>
      <c r="C692" s="73">
        <v>11</v>
      </c>
      <c r="D692" s="180" t="s">
        <v>296</v>
      </c>
      <c r="E692" s="39">
        <v>43596</v>
      </c>
      <c r="F692" s="179">
        <v>0.27083333333333331</v>
      </c>
      <c r="G692" s="180">
        <v>1</v>
      </c>
      <c r="H692" s="180"/>
      <c r="I692" s="180"/>
      <c r="J692" s="180"/>
      <c r="K692" s="180"/>
      <c r="L692" s="180"/>
      <c r="M692" s="180"/>
      <c r="N692" s="180"/>
      <c r="O692" s="180"/>
      <c r="P692" s="180"/>
      <c r="AS692" s="180"/>
      <c r="AT692" s="180"/>
      <c r="AU692" s="180"/>
      <c r="AV692" s="180"/>
      <c r="AW692" s="180"/>
      <c r="AX692" s="180"/>
      <c r="AY692" s="180"/>
      <c r="AZ692" s="180"/>
      <c r="BA692" s="180"/>
      <c r="BB692" s="180"/>
      <c r="BC692" s="180"/>
      <c r="BD692" s="180"/>
      <c r="BE692" s="180"/>
      <c r="BF692" s="180"/>
      <c r="BG692" s="180"/>
      <c r="BH692" s="180"/>
      <c r="BI692" s="180"/>
      <c r="BJ692" s="180"/>
      <c r="BK692" s="180"/>
      <c r="BL692" s="180"/>
      <c r="BM692" s="180"/>
      <c r="BN692" s="180"/>
      <c r="BO692" s="180"/>
      <c r="BP692" s="180"/>
      <c r="BQ692" s="180"/>
      <c r="BR692" s="180"/>
      <c r="BS692" s="180"/>
      <c r="BT692" s="180"/>
      <c r="BU692" s="180"/>
      <c r="BV692" s="180"/>
      <c r="BW692" s="180"/>
      <c r="BX692" s="180"/>
      <c r="BY692" s="180"/>
      <c r="BZ692" s="180"/>
      <c r="CA692" s="180"/>
      <c r="CB692" s="180"/>
      <c r="CC692" s="180"/>
      <c r="CD692" s="180"/>
      <c r="CE692" s="180"/>
      <c r="CF692" s="180"/>
      <c r="CG692" s="180"/>
      <c r="CH692" s="180"/>
      <c r="CI692" s="180"/>
      <c r="CJ692" s="180"/>
      <c r="CK692" s="180"/>
      <c r="CL692" s="180"/>
      <c r="CM692" s="180"/>
      <c r="CN692" s="180"/>
      <c r="CO692" s="180"/>
      <c r="CP692" s="180"/>
      <c r="CQ692" s="180"/>
      <c r="CR692" s="180"/>
      <c r="CS692" s="180"/>
      <c r="CT692" s="180"/>
      <c r="CU692" s="180"/>
      <c r="CV692" s="180"/>
      <c r="CW692" s="180"/>
      <c r="CX692" s="180"/>
      <c r="CY692" s="180"/>
      <c r="CZ692" s="180"/>
    </row>
    <row r="693" spans="1:104" x14ac:dyDescent="0.45">
      <c r="A693" s="180" t="s">
        <v>54</v>
      </c>
      <c r="B693" s="73">
        <v>7</v>
      </c>
      <c r="C693" s="73">
        <v>7</v>
      </c>
      <c r="D693" s="180" t="s">
        <v>271</v>
      </c>
      <c r="E693" s="39">
        <v>43596</v>
      </c>
      <c r="F693" s="179">
        <v>0.6743055555555556</v>
      </c>
      <c r="G693" s="180">
        <v>2</v>
      </c>
      <c r="H693" s="180"/>
      <c r="I693" s="180"/>
      <c r="J693" s="180"/>
      <c r="K693" s="180"/>
      <c r="L693" s="180"/>
      <c r="M693" s="180"/>
      <c r="N693" s="180"/>
      <c r="O693" s="180"/>
      <c r="P693" s="180"/>
      <c r="AS693" s="180"/>
      <c r="AT693" s="180"/>
      <c r="AU693" s="180"/>
      <c r="AV693" s="180"/>
      <c r="AW693" s="180"/>
      <c r="AX693" s="180"/>
      <c r="AY693" s="180"/>
      <c r="AZ693" s="180"/>
      <c r="BA693" s="180"/>
      <c r="BB693" s="180"/>
      <c r="BC693" s="180"/>
      <c r="BD693" s="180"/>
      <c r="BE693" s="180"/>
      <c r="BF693" s="180"/>
      <c r="BG693" s="180"/>
      <c r="BH693" s="180"/>
      <c r="BI693" s="180"/>
      <c r="BJ693" s="180"/>
      <c r="BK693" s="180"/>
      <c r="BL693" s="180"/>
      <c r="BM693" s="180"/>
      <c r="BN693" s="180"/>
      <c r="BO693" s="180"/>
      <c r="BP693" s="180"/>
      <c r="BQ693" s="180"/>
      <c r="BR693" s="180"/>
      <c r="BS693" s="180"/>
      <c r="BT693" s="180"/>
      <c r="BU693" s="180"/>
      <c r="BV693" s="180"/>
      <c r="BW693" s="180"/>
      <c r="BX693" s="180"/>
      <c r="BY693" s="180"/>
      <c r="BZ693" s="180"/>
      <c r="CA693" s="180"/>
      <c r="CB693" s="180"/>
      <c r="CC693" s="180"/>
      <c r="CD693" s="180"/>
      <c r="CE693" s="180"/>
      <c r="CF693" s="180"/>
      <c r="CG693" s="180"/>
      <c r="CH693" s="180"/>
      <c r="CI693" s="180"/>
      <c r="CJ693" s="180"/>
      <c r="CK693" s="180"/>
      <c r="CL693" s="180"/>
      <c r="CM693" s="180"/>
      <c r="CN693" s="180"/>
      <c r="CO693" s="180"/>
      <c r="CP693" s="180"/>
      <c r="CQ693" s="180"/>
      <c r="CR693" s="180"/>
      <c r="CS693" s="180"/>
      <c r="CT693" s="180"/>
      <c r="CU693" s="180"/>
      <c r="CV693" s="180"/>
      <c r="CW693" s="180"/>
      <c r="CX693" s="180"/>
      <c r="CY693" s="180"/>
      <c r="CZ693" s="180"/>
    </row>
    <row r="694" spans="1:104" ht="13.5" customHeight="1" x14ac:dyDescent="0.45">
      <c r="A694" s="180" t="s">
        <v>54</v>
      </c>
      <c r="B694" s="73">
        <v>3</v>
      </c>
      <c r="C694" s="73"/>
      <c r="D694" s="180" t="s">
        <v>271</v>
      </c>
      <c r="E694" s="39">
        <v>43596</v>
      </c>
      <c r="F694" s="179">
        <v>0.33194444444444443</v>
      </c>
      <c r="G694" s="180">
        <v>2</v>
      </c>
      <c r="H694" s="180"/>
      <c r="I694" s="180"/>
      <c r="J694" s="180"/>
      <c r="K694" s="180"/>
      <c r="L694" s="180"/>
      <c r="M694" s="180"/>
      <c r="N694" s="180"/>
      <c r="O694" s="180"/>
      <c r="P694" s="180"/>
      <c r="AS694" s="180"/>
      <c r="AT694" s="180"/>
      <c r="AU694" s="180"/>
      <c r="AV694" s="180"/>
      <c r="AW694" s="180"/>
      <c r="AX694" s="180"/>
      <c r="AY694" s="180"/>
      <c r="AZ694" s="180"/>
      <c r="BA694" s="180"/>
      <c r="BB694" s="180"/>
      <c r="BC694" s="180"/>
      <c r="BD694" s="180"/>
      <c r="BE694" s="180"/>
      <c r="BF694" s="180"/>
      <c r="BG694" s="180"/>
      <c r="BH694" s="180"/>
      <c r="BI694" s="180"/>
      <c r="BJ694" s="180"/>
      <c r="BK694" s="180"/>
      <c r="BL694" s="180"/>
      <c r="BM694" s="180"/>
      <c r="BN694" s="180"/>
      <c r="BO694" s="180"/>
      <c r="BP694" s="180"/>
      <c r="BQ694" s="180"/>
      <c r="BR694" s="180"/>
      <c r="BS694" s="180"/>
      <c r="BT694" s="180"/>
      <c r="BU694" s="180"/>
      <c r="BV694" s="180"/>
      <c r="BW694" s="180"/>
      <c r="BX694" s="180"/>
      <c r="BY694" s="180"/>
      <c r="BZ694" s="180"/>
      <c r="CA694" s="180"/>
      <c r="CB694" s="180"/>
      <c r="CC694" s="180"/>
      <c r="CD694" s="180"/>
      <c r="CE694" s="180"/>
      <c r="CF694" s="180"/>
      <c r="CG694" s="180"/>
      <c r="CH694" s="180"/>
      <c r="CI694" s="180"/>
      <c r="CJ694" s="180"/>
      <c r="CK694" s="180"/>
      <c r="CL694" s="180"/>
      <c r="CM694" s="180"/>
      <c r="CN694" s="180"/>
      <c r="CO694" s="180"/>
      <c r="CP694" s="180"/>
      <c r="CQ694" s="180"/>
      <c r="CR694" s="180"/>
      <c r="CS694" s="180"/>
      <c r="CT694" s="180"/>
      <c r="CU694" s="180"/>
      <c r="CV694" s="180"/>
      <c r="CW694" s="180"/>
      <c r="CX694" s="180"/>
      <c r="CY694" s="180"/>
      <c r="CZ694" s="180"/>
    </row>
    <row r="695" spans="1:104" x14ac:dyDescent="0.45">
      <c r="A695" s="180" t="s">
        <v>54</v>
      </c>
      <c r="B695" s="73">
        <v>3</v>
      </c>
      <c r="C695" s="73"/>
      <c r="D695" s="180" t="s">
        <v>271</v>
      </c>
      <c r="E695" s="39">
        <v>43596</v>
      </c>
      <c r="F695" s="179">
        <v>0.5625</v>
      </c>
      <c r="G695" s="180">
        <v>3</v>
      </c>
      <c r="H695" s="180"/>
      <c r="I695" s="180"/>
      <c r="J695" s="180"/>
      <c r="K695" s="180"/>
      <c r="L695" s="180"/>
      <c r="M695" s="180"/>
      <c r="N695" s="180"/>
      <c r="O695" s="180"/>
      <c r="P695" s="180"/>
      <c r="AS695" s="180"/>
      <c r="AT695" s="180"/>
      <c r="AU695" s="180"/>
      <c r="AV695" s="180"/>
      <c r="AW695" s="180"/>
      <c r="AX695" s="180"/>
      <c r="AY695" s="180"/>
      <c r="AZ695" s="180"/>
      <c r="BA695" s="180"/>
      <c r="BB695" s="180"/>
      <c r="BC695" s="180"/>
      <c r="BD695" s="180"/>
      <c r="BE695" s="180"/>
      <c r="BF695" s="180"/>
      <c r="BG695" s="180"/>
      <c r="BH695" s="180"/>
      <c r="BI695" s="180"/>
      <c r="BJ695" s="180"/>
      <c r="BK695" s="180"/>
      <c r="BL695" s="180"/>
      <c r="BM695" s="180"/>
      <c r="BN695" s="180"/>
      <c r="BO695" s="180"/>
      <c r="BP695" s="180"/>
      <c r="BQ695" s="180"/>
      <c r="BR695" s="180"/>
      <c r="BS695" s="180"/>
      <c r="BT695" s="180"/>
      <c r="BU695" s="180"/>
      <c r="BV695" s="180"/>
      <c r="BW695" s="180"/>
      <c r="BX695" s="180"/>
      <c r="BY695" s="180"/>
      <c r="BZ695" s="180"/>
      <c r="CA695" s="180"/>
      <c r="CB695" s="180"/>
      <c r="CC695" s="180"/>
      <c r="CD695" s="180"/>
      <c r="CE695" s="180"/>
      <c r="CF695" s="180"/>
      <c r="CG695" s="180"/>
      <c r="CH695" s="180"/>
      <c r="CI695" s="180"/>
      <c r="CJ695" s="180"/>
      <c r="CK695" s="180"/>
      <c r="CL695" s="180"/>
      <c r="CM695" s="180"/>
      <c r="CN695" s="180"/>
      <c r="CO695" s="180"/>
      <c r="CP695" s="180"/>
      <c r="CQ695" s="180"/>
      <c r="CR695" s="180"/>
      <c r="CS695" s="180"/>
      <c r="CT695" s="180"/>
      <c r="CU695" s="180"/>
      <c r="CV695" s="180"/>
      <c r="CW695" s="180"/>
      <c r="CX695" s="180"/>
      <c r="CY695" s="180"/>
      <c r="CZ695" s="180"/>
    </row>
    <row r="696" spans="1:104" x14ac:dyDescent="0.45">
      <c r="A696" s="180" t="s">
        <v>54</v>
      </c>
      <c r="B696" s="73">
        <v>3</v>
      </c>
      <c r="C696" s="73"/>
      <c r="D696" s="180" t="s">
        <v>271</v>
      </c>
      <c r="E696" s="39">
        <v>43596</v>
      </c>
      <c r="F696" s="179">
        <v>0.57222222222222219</v>
      </c>
      <c r="G696" s="180">
        <v>2</v>
      </c>
      <c r="H696" s="180"/>
      <c r="I696" s="180"/>
      <c r="J696" s="180"/>
      <c r="K696" s="180"/>
      <c r="L696" s="180"/>
      <c r="M696" s="180"/>
      <c r="N696" s="180"/>
      <c r="O696" s="180"/>
      <c r="P696" s="180"/>
      <c r="AS696" s="180"/>
      <c r="AT696" s="180"/>
      <c r="AU696" s="180"/>
      <c r="AV696" s="180"/>
      <c r="AW696" s="180"/>
      <c r="AX696" s="180"/>
      <c r="AY696" s="180"/>
      <c r="AZ696" s="180"/>
      <c r="BA696" s="180"/>
      <c r="BB696" s="180"/>
      <c r="BC696" s="180"/>
      <c r="BD696" s="180"/>
      <c r="BE696" s="180"/>
      <c r="BF696" s="180"/>
      <c r="BG696" s="180"/>
      <c r="BH696" s="180"/>
      <c r="BI696" s="180"/>
      <c r="BJ696" s="180"/>
      <c r="BK696" s="180"/>
      <c r="BL696" s="180"/>
      <c r="BM696" s="180"/>
      <c r="BN696" s="180"/>
      <c r="BO696" s="180"/>
      <c r="BP696" s="180"/>
      <c r="BQ696" s="180"/>
      <c r="BR696" s="180"/>
      <c r="BS696" s="180"/>
      <c r="BT696" s="180"/>
      <c r="BU696" s="180"/>
      <c r="BV696" s="180"/>
      <c r="BW696" s="180"/>
      <c r="BX696" s="180"/>
      <c r="BY696" s="180"/>
      <c r="BZ696" s="180"/>
      <c r="CA696" s="180"/>
      <c r="CB696" s="180"/>
      <c r="CC696" s="180"/>
      <c r="CD696" s="180"/>
      <c r="CE696" s="180"/>
      <c r="CF696" s="180"/>
      <c r="CG696" s="180"/>
      <c r="CH696" s="180"/>
      <c r="CI696" s="180"/>
      <c r="CJ696" s="180"/>
      <c r="CK696" s="180"/>
      <c r="CL696" s="180"/>
      <c r="CM696" s="180"/>
      <c r="CN696" s="180"/>
      <c r="CO696" s="180"/>
      <c r="CP696" s="180"/>
      <c r="CQ696" s="180"/>
      <c r="CR696" s="180"/>
      <c r="CS696" s="180"/>
      <c r="CT696" s="180"/>
      <c r="CU696" s="180"/>
      <c r="CV696" s="180"/>
      <c r="CW696" s="180"/>
      <c r="CX696" s="180"/>
      <c r="CY696" s="180"/>
      <c r="CZ696" s="180"/>
    </row>
    <row r="697" spans="1:104" x14ac:dyDescent="0.45">
      <c r="A697" s="180" t="s">
        <v>54</v>
      </c>
      <c r="B697" s="73">
        <v>3</v>
      </c>
      <c r="C697" s="73"/>
      <c r="D697" s="180" t="s">
        <v>271</v>
      </c>
      <c r="E697" s="39">
        <v>43596</v>
      </c>
      <c r="F697" s="179">
        <v>0.5756944444444444</v>
      </c>
      <c r="G697" s="180">
        <v>2</v>
      </c>
      <c r="H697" s="180"/>
      <c r="I697" s="180"/>
      <c r="J697" s="180"/>
      <c r="K697" s="180"/>
      <c r="L697" s="180"/>
      <c r="M697" s="180"/>
      <c r="N697" s="180"/>
      <c r="O697" s="180"/>
      <c r="P697" s="180"/>
      <c r="AS697" s="180"/>
      <c r="AT697" s="180"/>
      <c r="AU697" s="180"/>
      <c r="AV697" s="180"/>
      <c r="AW697" s="180"/>
      <c r="AX697" s="180"/>
      <c r="AY697" s="180"/>
      <c r="AZ697" s="180"/>
      <c r="BA697" s="180"/>
      <c r="BB697" s="180"/>
      <c r="BC697" s="180"/>
      <c r="BD697" s="180"/>
      <c r="BE697" s="180"/>
      <c r="BF697" s="180"/>
      <c r="BG697" s="180"/>
      <c r="BH697" s="180"/>
      <c r="BI697" s="180"/>
      <c r="BJ697" s="180"/>
      <c r="BK697" s="180"/>
      <c r="BL697" s="180"/>
      <c r="BM697" s="180"/>
      <c r="BN697" s="180"/>
      <c r="BO697" s="180"/>
      <c r="BP697" s="180"/>
      <c r="BQ697" s="180"/>
      <c r="BR697" s="180"/>
      <c r="BS697" s="180"/>
      <c r="BT697" s="180"/>
      <c r="BU697" s="180"/>
      <c r="BV697" s="180"/>
      <c r="BW697" s="180"/>
      <c r="BX697" s="180"/>
      <c r="BY697" s="180"/>
      <c r="BZ697" s="180"/>
      <c r="CA697" s="180"/>
      <c r="CB697" s="180"/>
      <c r="CC697" s="180"/>
      <c r="CD697" s="180"/>
      <c r="CE697" s="180"/>
      <c r="CF697" s="180"/>
      <c r="CG697" s="180"/>
      <c r="CH697" s="180"/>
      <c r="CI697" s="180"/>
      <c r="CJ697" s="180"/>
      <c r="CK697" s="180"/>
      <c r="CL697" s="180"/>
      <c r="CM697" s="180"/>
      <c r="CN697" s="180"/>
      <c r="CO697" s="180"/>
      <c r="CP697" s="180"/>
      <c r="CQ697" s="180"/>
      <c r="CR697" s="180"/>
      <c r="CS697" s="180"/>
      <c r="CT697" s="180"/>
      <c r="CU697" s="180"/>
      <c r="CV697" s="180"/>
      <c r="CW697" s="180"/>
      <c r="CX697" s="180"/>
      <c r="CY697" s="180"/>
      <c r="CZ697" s="180"/>
    </row>
    <row r="698" spans="1:104" x14ac:dyDescent="0.45">
      <c r="A698" s="180" t="s">
        <v>54</v>
      </c>
      <c r="B698" s="73">
        <v>2</v>
      </c>
      <c r="C698" s="73"/>
      <c r="D698" s="180" t="s">
        <v>271</v>
      </c>
      <c r="E698" s="39">
        <v>43596</v>
      </c>
      <c r="F698" s="179">
        <v>0.80486111111111114</v>
      </c>
      <c r="G698" s="180">
        <v>1</v>
      </c>
      <c r="H698" s="180"/>
      <c r="I698" s="180"/>
      <c r="J698" s="180"/>
      <c r="K698" s="180"/>
      <c r="L698" s="180"/>
      <c r="M698" s="180"/>
      <c r="N698" s="180"/>
      <c r="O698" s="180"/>
      <c r="P698" s="180"/>
      <c r="AS698" s="180"/>
      <c r="AT698" s="180"/>
      <c r="AU698" s="180"/>
      <c r="AV698" s="180"/>
      <c r="AW698" s="180"/>
      <c r="AX698" s="180"/>
      <c r="AY698" s="180"/>
      <c r="AZ698" s="180"/>
      <c r="BA698" s="180"/>
      <c r="BB698" s="180"/>
      <c r="BC698" s="180"/>
      <c r="BD698" s="180"/>
      <c r="BE698" s="180"/>
      <c r="BF698" s="180"/>
      <c r="BG698" s="180"/>
      <c r="BH698" s="180"/>
      <c r="BI698" s="180"/>
      <c r="BJ698" s="180"/>
      <c r="BK698" s="180"/>
      <c r="BL698" s="180"/>
      <c r="BM698" s="180"/>
      <c r="BN698" s="180"/>
      <c r="BO698" s="180"/>
      <c r="BP698" s="180"/>
      <c r="BQ698" s="180"/>
      <c r="BR698" s="180"/>
      <c r="BS698" s="180"/>
      <c r="BT698" s="180"/>
      <c r="BU698" s="180"/>
      <c r="BV698" s="180"/>
      <c r="BW698" s="180"/>
      <c r="BX698" s="180"/>
      <c r="BY698" s="180"/>
      <c r="BZ698" s="180"/>
      <c r="CA698" s="180"/>
      <c r="CB698" s="180"/>
      <c r="CC698" s="180"/>
      <c r="CD698" s="180"/>
      <c r="CE698" s="180"/>
      <c r="CF698" s="180"/>
      <c r="CG698" s="180"/>
      <c r="CH698" s="180"/>
      <c r="CI698" s="180"/>
      <c r="CJ698" s="180"/>
      <c r="CK698" s="180"/>
      <c r="CL698" s="180"/>
      <c r="CM698" s="180"/>
      <c r="CN698" s="180"/>
      <c r="CO698" s="180"/>
      <c r="CP698" s="180"/>
      <c r="CQ698" s="180"/>
      <c r="CR698" s="180"/>
      <c r="CS698" s="180"/>
      <c r="CT698" s="180"/>
      <c r="CU698" s="180"/>
      <c r="CV698" s="180"/>
      <c r="CW698" s="180"/>
      <c r="CX698" s="180"/>
      <c r="CY698" s="180"/>
      <c r="CZ698" s="180"/>
    </row>
    <row r="699" spans="1:104" x14ac:dyDescent="0.45">
      <c r="A699" s="180" t="s">
        <v>54</v>
      </c>
      <c r="B699" s="73">
        <v>3</v>
      </c>
      <c r="C699" s="73"/>
      <c r="D699" s="180" t="s">
        <v>271</v>
      </c>
      <c r="E699" s="39">
        <v>43596</v>
      </c>
      <c r="F699" s="179">
        <v>0.5756944444444444</v>
      </c>
      <c r="G699" s="180">
        <v>2</v>
      </c>
      <c r="H699" s="180"/>
      <c r="I699" s="180"/>
      <c r="J699" s="180"/>
      <c r="K699" s="180"/>
      <c r="L699" s="180"/>
      <c r="M699" s="180"/>
      <c r="N699" s="180"/>
      <c r="O699" s="180"/>
      <c r="P699" s="180"/>
      <c r="AS699" s="180"/>
      <c r="AT699" s="180"/>
      <c r="AU699" s="180"/>
      <c r="AV699" s="180"/>
      <c r="AW699" s="180"/>
      <c r="AX699" s="180"/>
      <c r="AY699" s="180"/>
      <c r="AZ699" s="180"/>
      <c r="BA699" s="180"/>
      <c r="BB699" s="180"/>
      <c r="BC699" s="180"/>
      <c r="BD699" s="180"/>
      <c r="BE699" s="180"/>
      <c r="BF699" s="180"/>
      <c r="BG699" s="180"/>
      <c r="BH699" s="180"/>
      <c r="BI699" s="180"/>
      <c r="BJ699" s="180"/>
      <c r="BK699" s="180"/>
      <c r="BL699" s="180"/>
      <c r="BM699" s="180"/>
      <c r="BN699" s="180"/>
      <c r="BO699" s="180"/>
      <c r="BP699" s="180"/>
      <c r="BQ699" s="180"/>
      <c r="BR699" s="180"/>
      <c r="BS699" s="180"/>
      <c r="BT699" s="180"/>
      <c r="BU699" s="180"/>
      <c r="BV699" s="180"/>
      <c r="BW699" s="180"/>
      <c r="BX699" s="180"/>
      <c r="BY699" s="180"/>
      <c r="BZ699" s="180"/>
      <c r="CA699" s="180"/>
      <c r="CB699" s="180"/>
      <c r="CC699" s="180"/>
      <c r="CD699" s="180"/>
      <c r="CE699" s="180"/>
      <c r="CF699" s="180"/>
      <c r="CG699" s="180"/>
      <c r="CH699" s="180"/>
      <c r="CI699" s="180"/>
      <c r="CJ699" s="180"/>
      <c r="CK699" s="180"/>
      <c r="CL699" s="180"/>
      <c r="CM699" s="180"/>
      <c r="CN699" s="180"/>
      <c r="CO699" s="180"/>
      <c r="CP699" s="180"/>
      <c r="CQ699" s="180"/>
      <c r="CR699" s="180"/>
      <c r="CS699" s="180"/>
      <c r="CT699" s="180"/>
      <c r="CU699" s="180"/>
      <c r="CV699" s="180"/>
      <c r="CW699" s="180"/>
      <c r="CX699" s="180"/>
      <c r="CY699" s="180"/>
      <c r="CZ699" s="180"/>
    </row>
    <row r="700" spans="1:104" x14ac:dyDescent="0.45">
      <c r="A700" s="180" t="s">
        <v>54</v>
      </c>
      <c r="B700" s="73">
        <v>4</v>
      </c>
      <c r="C700" s="73">
        <v>4</v>
      </c>
      <c r="D700" s="180" t="s">
        <v>397</v>
      </c>
      <c r="E700" s="39">
        <v>43597</v>
      </c>
      <c r="F700" s="179">
        <v>0.89583333333333337</v>
      </c>
      <c r="G700" s="180">
        <v>6</v>
      </c>
      <c r="H700" s="180"/>
      <c r="I700" s="180"/>
      <c r="J700" s="180"/>
      <c r="K700" s="180"/>
      <c r="L700" s="180"/>
      <c r="M700" s="180"/>
      <c r="N700" s="180"/>
      <c r="O700" s="180"/>
      <c r="P700" s="180"/>
      <c r="AS700" s="180"/>
      <c r="AT700" s="180"/>
      <c r="AU700" s="180"/>
      <c r="AV700" s="180"/>
      <c r="AW700" s="180"/>
      <c r="AX700" s="180"/>
      <c r="AY700" s="180"/>
      <c r="AZ700" s="180"/>
      <c r="BA700" s="180"/>
      <c r="BB700" s="180"/>
      <c r="BC700" s="180"/>
      <c r="BD700" s="180"/>
      <c r="BE700" s="180"/>
      <c r="BF700" s="180"/>
      <c r="BG700" s="180"/>
      <c r="BH700" s="180"/>
      <c r="BI700" s="180"/>
      <c r="BJ700" s="180"/>
      <c r="BK700" s="180"/>
      <c r="BL700" s="180"/>
      <c r="BM700" s="180"/>
      <c r="BN700" s="180"/>
      <c r="BO700" s="180"/>
      <c r="BP700" s="180"/>
      <c r="BQ700" s="180"/>
      <c r="BR700" s="180"/>
      <c r="BS700" s="180"/>
      <c r="BT700" s="180"/>
      <c r="BU700" s="180"/>
      <c r="BV700" s="180"/>
      <c r="BW700" s="180"/>
      <c r="BX700" s="180"/>
      <c r="BY700" s="180"/>
      <c r="BZ700" s="180"/>
      <c r="CA700" s="180"/>
      <c r="CB700" s="180"/>
      <c r="CC700" s="180"/>
      <c r="CD700" s="180"/>
      <c r="CE700" s="180"/>
      <c r="CF700" s="180"/>
      <c r="CG700" s="180"/>
      <c r="CH700" s="180"/>
      <c r="CI700" s="180"/>
      <c r="CJ700" s="180"/>
      <c r="CK700" s="180"/>
      <c r="CL700" s="180"/>
      <c r="CM700" s="180"/>
      <c r="CN700" s="180"/>
      <c r="CO700" s="180"/>
      <c r="CP700" s="180"/>
      <c r="CQ700" s="180"/>
      <c r="CR700" s="180"/>
      <c r="CS700" s="180"/>
      <c r="CT700" s="180"/>
      <c r="CU700" s="180"/>
      <c r="CV700" s="180"/>
      <c r="CW700" s="180"/>
      <c r="CX700" s="180"/>
      <c r="CY700" s="180"/>
      <c r="CZ700" s="180"/>
    </row>
    <row r="701" spans="1:104" x14ac:dyDescent="0.45">
      <c r="A701" s="180" t="s">
        <v>54</v>
      </c>
      <c r="B701" s="73">
        <v>5</v>
      </c>
      <c r="C701" s="73">
        <v>5</v>
      </c>
      <c r="D701" s="180" t="s">
        <v>317</v>
      </c>
      <c r="E701" s="39">
        <v>43597</v>
      </c>
      <c r="F701" s="179">
        <v>0.40486111111111112</v>
      </c>
      <c r="G701" s="180">
        <v>1</v>
      </c>
      <c r="H701" s="180"/>
      <c r="I701" s="180"/>
      <c r="J701" s="180"/>
      <c r="K701" s="180"/>
      <c r="L701" s="180"/>
      <c r="M701" s="180"/>
      <c r="N701" s="180"/>
      <c r="O701" s="180"/>
      <c r="P701" s="180"/>
      <c r="AS701" s="180"/>
      <c r="AT701" s="180"/>
      <c r="AU701" s="180"/>
      <c r="AV701" s="180"/>
      <c r="AW701" s="180"/>
      <c r="AX701" s="180"/>
      <c r="AY701" s="180"/>
      <c r="AZ701" s="180"/>
      <c r="BA701" s="180"/>
      <c r="BB701" s="180"/>
      <c r="BC701" s="180"/>
      <c r="BD701" s="180"/>
      <c r="BE701" s="180"/>
      <c r="BF701" s="180"/>
      <c r="BG701" s="180"/>
      <c r="BH701" s="180"/>
      <c r="BI701" s="180"/>
      <c r="BJ701" s="180"/>
      <c r="BK701" s="180"/>
      <c r="BL701" s="180"/>
      <c r="BM701" s="180"/>
      <c r="BN701" s="180"/>
      <c r="BO701" s="180"/>
      <c r="BP701" s="180"/>
      <c r="BQ701" s="180"/>
      <c r="BR701" s="180"/>
      <c r="BS701" s="180"/>
      <c r="BT701" s="180"/>
      <c r="BU701" s="180"/>
      <c r="BV701" s="180"/>
      <c r="BW701" s="180"/>
      <c r="BX701" s="180"/>
      <c r="BY701" s="180"/>
      <c r="BZ701" s="180"/>
      <c r="CA701" s="180"/>
      <c r="CB701" s="180"/>
      <c r="CC701" s="180"/>
      <c r="CD701" s="180"/>
      <c r="CE701" s="180"/>
      <c r="CF701" s="180"/>
      <c r="CG701" s="180"/>
      <c r="CH701" s="180"/>
      <c r="CI701" s="180"/>
      <c r="CJ701" s="180"/>
      <c r="CK701" s="180"/>
      <c r="CL701" s="180"/>
      <c r="CM701" s="180"/>
      <c r="CN701" s="180"/>
      <c r="CO701" s="180"/>
      <c r="CP701" s="180"/>
      <c r="CQ701" s="180"/>
      <c r="CR701" s="180"/>
      <c r="CS701" s="180"/>
      <c r="CT701" s="180"/>
      <c r="CU701" s="180"/>
      <c r="CV701" s="180"/>
      <c r="CW701" s="180"/>
      <c r="CX701" s="180"/>
      <c r="CY701" s="180"/>
      <c r="CZ701" s="180"/>
    </row>
    <row r="702" spans="1:104" x14ac:dyDescent="0.45">
      <c r="A702" s="180" t="s">
        <v>54</v>
      </c>
      <c r="B702" s="73">
        <v>4</v>
      </c>
      <c r="C702" s="73">
        <v>4</v>
      </c>
      <c r="D702" s="180" t="s">
        <v>296</v>
      </c>
      <c r="E702" s="39">
        <v>43597</v>
      </c>
      <c r="F702" s="179">
        <v>0.45208333333333334</v>
      </c>
      <c r="G702" s="180">
        <v>1</v>
      </c>
      <c r="H702" s="180"/>
      <c r="I702" s="180"/>
      <c r="J702" s="180"/>
      <c r="K702" s="180"/>
      <c r="L702" s="180"/>
      <c r="M702" s="180"/>
      <c r="N702" s="180"/>
      <c r="O702" s="180"/>
      <c r="P702" s="180"/>
      <c r="AS702" s="180"/>
      <c r="AT702" s="180"/>
      <c r="AU702" s="180"/>
      <c r="AV702" s="180"/>
      <c r="AW702" s="180"/>
      <c r="AX702" s="180"/>
      <c r="AY702" s="180"/>
      <c r="AZ702" s="180"/>
      <c r="BA702" s="180"/>
      <c r="BB702" s="180"/>
      <c r="BC702" s="180"/>
      <c r="BD702" s="180"/>
      <c r="BE702" s="180"/>
      <c r="BF702" s="180"/>
      <c r="BG702" s="180"/>
      <c r="BH702" s="180"/>
      <c r="BI702" s="180"/>
      <c r="BJ702" s="180"/>
      <c r="BK702" s="180"/>
      <c r="BL702" s="180"/>
      <c r="BM702" s="180"/>
      <c r="BN702" s="180"/>
      <c r="BO702" s="180"/>
      <c r="BP702" s="180"/>
      <c r="BQ702" s="180"/>
      <c r="BR702" s="180"/>
      <c r="BS702" s="180"/>
      <c r="BT702" s="180"/>
      <c r="BU702" s="180"/>
      <c r="BV702" s="180"/>
      <c r="BW702" s="180"/>
      <c r="BX702" s="180"/>
      <c r="BY702" s="180"/>
      <c r="BZ702" s="180"/>
      <c r="CA702" s="180"/>
      <c r="CB702" s="180"/>
      <c r="CC702" s="180"/>
      <c r="CD702" s="180"/>
      <c r="CE702" s="180"/>
      <c r="CF702" s="180"/>
      <c r="CG702" s="180"/>
      <c r="CH702" s="180"/>
      <c r="CI702" s="180"/>
      <c r="CJ702" s="180"/>
      <c r="CK702" s="180"/>
      <c r="CL702" s="180"/>
      <c r="CM702" s="180"/>
      <c r="CN702" s="180"/>
      <c r="CO702" s="180"/>
      <c r="CP702" s="180"/>
      <c r="CQ702" s="180"/>
      <c r="CR702" s="180"/>
      <c r="CS702" s="180"/>
      <c r="CT702" s="180"/>
      <c r="CU702" s="180"/>
      <c r="CV702" s="180"/>
      <c r="CW702" s="180"/>
      <c r="CX702" s="180"/>
      <c r="CY702" s="180"/>
      <c r="CZ702" s="180"/>
    </row>
    <row r="703" spans="1:104" x14ac:dyDescent="0.45">
      <c r="A703" s="180" t="s">
        <v>54</v>
      </c>
      <c r="B703" s="73">
        <v>5</v>
      </c>
      <c r="C703" s="73">
        <v>5</v>
      </c>
      <c r="D703" s="180" t="s">
        <v>271</v>
      </c>
      <c r="E703" s="39">
        <v>43601</v>
      </c>
      <c r="F703" s="179">
        <v>0.5625</v>
      </c>
      <c r="G703" s="180">
        <v>1</v>
      </c>
      <c r="H703" s="180"/>
      <c r="I703" s="180"/>
      <c r="J703" s="180"/>
      <c r="K703" s="180"/>
      <c r="L703" s="180"/>
      <c r="M703" s="180"/>
      <c r="N703" s="180"/>
      <c r="O703" s="180"/>
      <c r="P703" s="180"/>
      <c r="AS703" s="180"/>
      <c r="AT703" s="180"/>
      <c r="AU703" s="180"/>
      <c r="AV703" s="180"/>
      <c r="AW703" s="180"/>
      <c r="AX703" s="180"/>
      <c r="AY703" s="180"/>
      <c r="AZ703" s="180"/>
      <c r="BA703" s="180"/>
      <c r="BB703" s="180"/>
      <c r="BC703" s="180"/>
      <c r="BD703" s="180"/>
      <c r="BE703" s="180"/>
      <c r="BF703" s="180"/>
      <c r="BG703" s="180"/>
      <c r="BH703" s="180"/>
      <c r="BI703" s="180"/>
      <c r="BJ703" s="180"/>
      <c r="BK703" s="180"/>
      <c r="BL703" s="180"/>
      <c r="BM703" s="180"/>
      <c r="BN703" s="180"/>
      <c r="BO703" s="180"/>
      <c r="BP703" s="180"/>
      <c r="BQ703" s="180"/>
      <c r="BR703" s="180"/>
      <c r="BS703" s="180"/>
      <c r="BT703" s="180"/>
      <c r="BU703" s="180"/>
      <c r="BV703" s="180"/>
      <c r="BW703" s="180"/>
      <c r="BX703" s="180"/>
      <c r="BY703" s="180"/>
      <c r="BZ703" s="180"/>
      <c r="CA703" s="180"/>
      <c r="CB703" s="180"/>
      <c r="CC703" s="180"/>
      <c r="CD703" s="180"/>
      <c r="CE703" s="180"/>
      <c r="CF703" s="180"/>
      <c r="CG703" s="180"/>
      <c r="CH703" s="180"/>
      <c r="CI703" s="180"/>
      <c r="CJ703" s="180"/>
      <c r="CK703" s="180"/>
      <c r="CL703" s="180"/>
      <c r="CM703" s="180"/>
      <c r="CN703" s="180"/>
      <c r="CO703" s="180"/>
      <c r="CP703" s="180"/>
      <c r="CQ703" s="180"/>
      <c r="CR703" s="180"/>
      <c r="CS703" s="180"/>
      <c r="CT703" s="180"/>
      <c r="CU703" s="180"/>
      <c r="CV703" s="180"/>
      <c r="CW703" s="180"/>
      <c r="CX703" s="180"/>
      <c r="CY703" s="180"/>
      <c r="CZ703" s="180"/>
    </row>
    <row r="704" spans="1:104" x14ac:dyDescent="0.45">
      <c r="A704" s="180" t="s">
        <v>54</v>
      </c>
      <c r="B704" s="73">
        <v>1</v>
      </c>
      <c r="C704" s="73">
        <v>1</v>
      </c>
      <c r="D704" s="180" t="s">
        <v>409</v>
      </c>
      <c r="E704" s="39">
        <v>43604</v>
      </c>
      <c r="F704" s="179">
        <v>0.35625000000000001</v>
      </c>
      <c r="G704" s="180">
        <v>2</v>
      </c>
      <c r="H704" s="180"/>
      <c r="I704" s="180"/>
      <c r="J704" s="180"/>
      <c r="K704" s="180"/>
      <c r="L704" s="180"/>
      <c r="M704" s="180"/>
      <c r="N704" s="180"/>
      <c r="O704" s="180"/>
      <c r="P704" s="180"/>
      <c r="AS704" s="180"/>
      <c r="AT704" s="180"/>
      <c r="AU704" s="180"/>
      <c r="AV704" s="180"/>
      <c r="AW704" s="180"/>
      <c r="AX704" s="180"/>
      <c r="AY704" s="180"/>
      <c r="AZ704" s="180"/>
      <c r="BA704" s="180"/>
      <c r="BB704" s="180"/>
      <c r="BC704" s="180"/>
      <c r="BD704" s="180"/>
      <c r="BE704" s="180"/>
      <c r="BF704" s="180"/>
      <c r="BG704" s="180"/>
      <c r="BH704" s="180"/>
      <c r="BI704" s="180"/>
      <c r="BJ704" s="180"/>
      <c r="BK704" s="180"/>
      <c r="BL704" s="180"/>
      <c r="BM704" s="180"/>
      <c r="BN704" s="180"/>
      <c r="BO704" s="180"/>
      <c r="BP704" s="180"/>
      <c r="BQ704" s="180"/>
      <c r="BR704" s="180"/>
      <c r="BS704" s="180"/>
      <c r="BT704" s="180"/>
      <c r="BU704" s="180"/>
      <c r="BV704" s="180"/>
      <c r="BW704" s="180"/>
      <c r="BX704" s="180"/>
      <c r="BY704" s="180"/>
      <c r="BZ704" s="180"/>
      <c r="CA704" s="180"/>
      <c r="CB704" s="180"/>
      <c r="CC704" s="180"/>
      <c r="CD704" s="180"/>
      <c r="CE704" s="180"/>
      <c r="CF704" s="180"/>
      <c r="CG704" s="180"/>
      <c r="CH704" s="180"/>
      <c r="CI704" s="180"/>
      <c r="CJ704" s="180"/>
      <c r="CK704" s="180"/>
      <c r="CL704" s="180"/>
      <c r="CM704" s="180"/>
      <c r="CN704" s="180"/>
      <c r="CO704" s="180"/>
      <c r="CP704" s="180"/>
      <c r="CQ704" s="180"/>
      <c r="CR704" s="180"/>
      <c r="CS704" s="180"/>
      <c r="CT704" s="180"/>
      <c r="CU704" s="180"/>
      <c r="CV704" s="180"/>
      <c r="CW704" s="180"/>
      <c r="CX704" s="180"/>
      <c r="CY704" s="180"/>
      <c r="CZ704" s="180"/>
    </row>
    <row r="705" spans="1:104" x14ac:dyDescent="0.45">
      <c r="A705" s="180" t="s">
        <v>54</v>
      </c>
      <c r="B705" s="73">
        <v>1</v>
      </c>
      <c r="C705" s="73"/>
      <c r="D705" s="180" t="s">
        <v>409</v>
      </c>
      <c r="E705" s="39">
        <v>43604</v>
      </c>
      <c r="F705" s="179">
        <v>0.35625000000000001</v>
      </c>
      <c r="G705" s="180">
        <v>2</v>
      </c>
      <c r="H705" s="180"/>
      <c r="I705" s="180"/>
      <c r="J705" s="180"/>
      <c r="K705" s="180"/>
      <c r="L705" s="180"/>
      <c r="M705" s="180"/>
      <c r="N705" s="180"/>
      <c r="O705" s="180"/>
      <c r="P705" s="180"/>
      <c r="AS705" s="180"/>
      <c r="AT705" s="180"/>
      <c r="AU705" s="180"/>
      <c r="AV705" s="180"/>
      <c r="AW705" s="180"/>
      <c r="AX705" s="180"/>
      <c r="AY705" s="180"/>
      <c r="AZ705" s="180"/>
      <c r="BA705" s="180"/>
      <c r="BB705" s="180"/>
      <c r="BC705" s="180"/>
      <c r="BD705" s="180"/>
      <c r="BE705" s="180"/>
      <c r="BF705" s="180"/>
      <c r="BG705" s="180"/>
      <c r="BH705" s="180"/>
      <c r="BI705" s="180"/>
      <c r="BJ705" s="180"/>
      <c r="BK705" s="180"/>
      <c r="BL705" s="180"/>
      <c r="BM705" s="180"/>
      <c r="BN705" s="180"/>
      <c r="BO705" s="180"/>
      <c r="BP705" s="180"/>
      <c r="BQ705" s="180"/>
      <c r="BR705" s="180"/>
      <c r="BS705" s="180"/>
      <c r="BT705" s="180"/>
      <c r="BU705" s="180"/>
      <c r="BV705" s="180"/>
      <c r="BW705" s="180"/>
      <c r="BX705" s="180"/>
      <c r="BY705" s="180"/>
      <c r="BZ705" s="180"/>
      <c r="CA705" s="180"/>
      <c r="CB705" s="180"/>
      <c r="CC705" s="180"/>
      <c r="CD705" s="180"/>
      <c r="CE705" s="180"/>
      <c r="CF705" s="180"/>
      <c r="CG705" s="180"/>
      <c r="CH705" s="180"/>
      <c r="CI705" s="180"/>
      <c r="CJ705" s="180"/>
      <c r="CK705" s="180"/>
      <c r="CL705" s="180"/>
      <c r="CM705" s="180"/>
      <c r="CN705" s="180"/>
      <c r="CO705" s="180"/>
      <c r="CP705" s="180"/>
      <c r="CQ705" s="180"/>
      <c r="CR705" s="180"/>
      <c r="CS705" s="180"/>
      <c r="CT705" s="180"/>
      <c r="CU705" s="180"/>
      <c r="CV705" s="180"/>
      <c r="CW705" s="180"/>
      <c r="CX705" s="180"/>
      <c r="CY705" s="180"/>
      <c r="CZ705" s="180"/>
    </row>
    <row r="706" spans="1:104" x14ac:dyDescent="0.45">
      <c r="A706" s="180" t="s">
        <v>54</v>
      </c>
      <c r="B706" s="73">
        <v>1</v>
      </c>
      <c r="C706" s="73">
        <v>1</v>
      </c>
      <c r="D706" s="180" t="s">
        <v>317</v>
      </c>
      <c r="E706" s="39">
        <v>43608</v>
      </c>
      <c r="F706" s="179">
        <v>0.81111111111111101</v>
      </c>
      <c r="G706" s="180">
        <v>4</v>
      </c>
      <c r="H706" s="180" t="s">
        <v>476</v>
      </c>
      <c r="I706" s="180"/>
      <c r="J706" s="180"/>
      <c r="K706" s="180"/>
      <c r="L706" s="180"/>
      <c r="M706" s="180"/>
      <c r="N706" s="180"/>
      <c r="O706" s="180"/>
      <c r="P706" s="180"/>
      <c r="AS706" s="180"/>
      <c r="AT706" s="180"/>
      <c r="AU706" s="180"/>
      <c r="AV706" s="180"/>
      <c r="AW706" s="180"/>
      <c r="AX706" s="180"/>
      <c r="AY706" s="180"/>
      <c r="AZ706" s="180"/>
      <c r="BA706" s="180"/>
      <c r="BB706" s="180"/>
      <c r="BC706" s="180"/>
      <c r="BD706" s="180"/>
      <c r="BE706" s="180"/>
      <c r="BF706" s="180"/>
      <c r="BG706" s="180"/>
      <c r="BH706" s="180"/>
      <c r="BI706" s="180"/>
      <c r="BJ706" s="180"/>
      <c r="BK706" s="180"/>
      <c r="BL706" s="180"/>
      <c r="BM706" s="180"/>
      <c r="BN706" s="180"/>
      <c r="BO706" s="180"/>
      <c r="BP706" s="180"/>
      <c r="BQ706" s="180"/>
      <c r="BR706" s="180"/>
      <c r="BS706" s="180"/>
      <c r="BT706" s="180"/>
      <c r="BU706" s="180"/>
      <c r="BV706" s="180"/>
      <c r="BW706" s="180"/>
      <c r="BX706" s="180"/>
      <c r="BY706" s="180"/>
      <c r="BZ706" s="180"/>
      <c r="CA706" s="180"/>
      <c r="CB706" s="180"/>
      <c r="CC706" s="180"/>
      <c r="CD706" s="180"/>
      <c r="CE706" s="180"/>
      <c r="CF706" s="180"/>
      <c r="CG706" s="180"/>
      <c r="CH706" s="180"/>
      <c r="CI706" s="180"/>
      <c r="CJ706" s="180"/>
      <c r="CK706" s="180"/>
      <c r="CL706" s="180"/>
      <c r="CM706" s="180"/>
      <c r="CN706" s="180"/>
      <c r="CO706" s="180"/>
      <c r="CP706" s="180"/>
      <c r="CQ706" s="180"/>
      <c r="CR706" s="180"/>
      <c r="CS706" s="180"/>
      <c r="CT706" s="180"/>
      <c r="CU706" s="180"/>
      <c r="CV706" s="180"/>
      <c r="CW706" s="180"/>
      <c r="CX706" s="180"/>
      <c r="CY706" s="180"/>
      <c r="CZ706" s="180"/>
    </row>
    <row r="707" spans="1:104" x14ac:dyDescent="0.45">
      <c r="A707" s="180" t="s">
        <v>54</v>
      </c>
      <c r="B707" s="73">
        <v>1</v>
      </c>
      <c r="C707" s="73"/>
      <c r="D707" s="180" t="s">
        <v>317</v>
      </c>
      <c r="E707" s="39">
        <v>43608</v>
      </c>
      <c r="F707" s="179">
        <v>0.81111111111111101</v>
      </c>
      <c r="G707" s="180">
        <v>4</v>
      </c>
      <c r="H707" s="180" t="s">
        <v>476</v>
      </c>
      <c r="I707" s="180"/>
      <c r="J707" s="180"/>
      <c r="K707" s="180"/>
      <c r="L707" s="180"/>
      <c r="M707" s="180"/>
      <c r="N707" s="180"/>
      <c r="O707" s="180"/>
      <c r="P707" s="180"/>
      <c r="AS707" s="180"/>
      <c r="AT707" s="180"/>
      <c r="AU707" s="180"/>
      <c r="AV707" s="180"/>
      <c r="AW707" s="180"/>
      <c r="AX707" s="180"/>
      <c r="AY707" s="180"/>
      <c r="AZ707" s="180"/>
      <c r="BA707" s="180"/>
      <c r="BB707" s="180"/>
      <c r="BC707" s="180"/>
      <c r="BD707" s="180"/>
      <c r="BE707" s="180"/>
      <c r="BF707" s="180"/>
      <c r="BG707" s="180"/>
      <c r="BH707" s="180"/>
      <c r="BI707" s="180"/>
      <c r="BJ707" s="180"/>
      <c r="BK707" s="180"/>
      <c r="BL707" s="180"/>
      <c r="BM707" s="180"/>
      <c r="BN707" s="180"/>
      <c r="BO707" s="180"/>
      <c r="BP707" s="180"/>
      <c r="BQ707" s="180"/>
      <c r="BR707" s="180"/>
      <c r="BS707" s="180"/>
      <c r="BT707" s="180"/>
      <c r="BU707" s="180"/>
      <c r="BV707" s="180"/>
      <c r="BW707" s="180"/>
      <c r="BX707" s="180"/>
      <c r="BY707" s="180"/>
      <c r="BZ707" s="180"/>
      <c r="CA707" s="180"/>
      <c r="CB707" s="180"/>
      <c r="CC707" s="180"/>
      <c r="CD707" s="180"/>
      <c r="CE707" s="180"/>
      <c r="CF707" s="180"/>
      <c r="CG707" s="180"/>
      <c r="CH707" s="180"/>
      <c r="CI707" s="180"/>
      <c r="CJ707" s="180"/>
      <c r="CK707" s="180"/>
      <c r="CL707" s="180"/>
      <c r="CM707" s="180"/>
      <c r="CN707" s="180"/>
      <c r="CO707" s="180"/>
      <c r="CP707" s="180"/>
      <c r="CQ707" s="180"/>
      <c r="CR707" s="180"/>
      <c r="CS707" s="180"/>
      <c r="CT707" s="180"/>
      <c r="CU707" s="180"/>
      <c r="CV707" s="180"/>
      <c r="CW707" s="180"/>
      <c r="CX707" s="180"/>
      <c r="CY707" s="180"/>
      <c r="CZ707" s="180"/>
    </row>
    <row r="708" spans="1:104" x14ac:dyDescent="0.45">
      <c r="A708" s="180" t="s">
        <v>54</v>
      </c>
      <c r="B708" s="73">
        <v>1</v>
      </c>
      <c r="C708" s="73"/>
      <c r="D708" s="180" t="s">
        <v>317</v>
      </c>
      <c r="E708" s="39">
        <v>43608</v>
      </c>
      <c r="F708" s="179">
        <v>0.81111111111111101</v>
      </c>
      <c r="G708" s="180">
        <v>4</v>
      </c>
      <c r="H708" s="180" t="s">
        <v>476</v>
      </c>
      <c r="I708" s="180"/>
      <c r="J708" s="180"/>
      <c r="K708" s="180"/>
      <c r="L708" s="180"/>
      <c r="M708" s="180"/>
      <c r="N708" s="180"/>
      <c r="O708" s="180"/>
      <c r="P708" s="180"/>
      <c r="AS708" s="180"/>
      <c r="AT708" s="180"/>
      <c r="AU708" s="180"/>
      <c r="AV708" s="180"/>
      <c r="AW708" s="180"/>
      <c r="AX708" s="180"/>
      <c r="AY708" s="180"/>
      <c r="AZ708" s="180"/>
      <c r="BA708" s="180"/>
      <c r="BB708" s="180"/>
      <c r="BC708" s="180"/>
      <c r="BD708" s="180"/>
      <c r="BE708" s="180"/>
      <c r="BF708" s="180"/>
      <c r="BG708" s="180"/>
      <c r="BH708" s="180"/>
      <c r="BI708" s="180"/>
      <c r="BJ708" s="180"/>
      <c r="BK708" s="180"/>
      <c r="BL708" s="180"/>
      <c r="BM708" s="180"/>
      <c r="BN708" s="180"/>
      <c r="BO708" s="180"/>
      <c r="BP708" s="180"/>
      <c r="BQ708" s="180"/>
      <c r="BR708" s="180"/>
      <c r="BS708" s="180"/>
      <c r="BT708" s="180"/>
      <c r="BU708" s="180"/>
      <c r="BV708" s="180"/>
      <c r="BW708" s="180"/>
      <c r="BX708" s="180"/>
      <c r="BY708" s="180"/>
      <c r="BZ708" s="180"/>
      <c r="CA708" s="180"/>
      <c r="CB708" s="180"/>
      <c r="CC708" s="180"/>
      <c r="CD708" s="180"/>
      <c r="CE708" s="180"/>
      <c r="CF708" s="180"/>
      <c r="CG708" s="180"/>
      <c r="CH708" s="180"/>
      <c r="CI708" s="180"/>
      <c r="CJ708" s="180"/>
      <c r="CK708" s="180"/>
      <c r="CL708" s="180"/>
      <c r="CM708" s="180"/>
      <c r="CN708" s="180"/>
      <c r="CO708" s="180"/>
      <c r="CP708" s="180"/>
      <c r="CQ708" s="180"/>
      <c r="CR708" s="180"/>
      <c r="CS708" s="180"/>
      <c r="CT708" s="180"/>
      <c r="CU708" s="180"/>
      <c r="CV708" s="180"/>
      <c r="CW708" s="180"/>
      <c r="CX708" s="180"/>
      <c r="CY708" s="180"/>
      <c r="CZ708" s="180"/>
    </row>
    <row r="709" spans="1:104" x14ac:dyDescent="0.45">
      <c r="A709" s="180" t="s">
        <v>54</v>
      </c>
      <c r="B709" s="73">
        <v>1</v>
      </c>
      <c r="C709" s="73"/>
      <c r="D709" s="180" t="s">
        <v>311</v>
      </c>
      <c r="E709" s="39">
        <v>43608</v>
      </c>
      <c r="F709" s="179">
        <v>0.8125</v>
      </c>
      <c r="G709" s="180">
        <v>9</v>
      </c>
      <c r="H709" s="180" t="s">
        <v>303</v>
      </c>
      <c r="I709" s="180"/>
      <c r="J709" s="180"/>
      <c r="K709" s="180"/>
      <c r="L709" s="180"/>
      <c r="M709" s="180"/>
      <c r="N709" s="180"/>
      <c r="O709" s="180"/>
      <c r="P709" s="180"/>
      <c r="AS709" s="180"/>
      <c r="AT709" s="180"/>
      <c r="AU709" s="180"/>
      <c r="AV709" s="180"/>
      <c r="AW709" s="180"/>
      <c r="AX709" s="180"/>
      <c r="AY709" s="180"/>
      <c r="AZ709" s="180"/>
      <c r="BA709" s="180"/>
      <c r="BB709" s="180"/>
      <c r="BC709" s="180"/>
      <c r="BD709" s="180"/>
      <c r="BE709" s="180"/>
      <c r="BF709" s="180"/>
      <c r="BG709" s="180"/>
      <c r="BH709" s="180"/>
      <c r="BI709" s="180"/>
      <c r="BJ709" s="180"/>
      <c r="BK709" s="180"/>
      <c r="BL709" s="180"/>
      <c r="BM709" s="180"/>
      <c r="BN709" s="180"/>
      <c r="BO709" s="180"/>
      <c r="BP709" s="180"/>
      <c r="BQ709" s="180"/>
      <c r="BR709" s="180"/>
      <c r="BS709" s="180"/>
      <c r="BT709" s="180"/>
      <c r="BU709" s="180"/>
      <c r="BV709" s="180"/>
      <c r="BW709" s="180"/>
      <c r="BX709" s="180"/>
      <c r="BY709" s="180"/>
      <c r="BZ709" s="180"/>
      <c r="CA709" s="180"/>
      <c r="CB709" s="180"/>
      <c r="CC709" s="180"/>
      <c r="CD709" s="180"/>
      <c r="CE709" s="180"/>
      <c r="CF709" s="180"/>
      <c r="CG709" s="180"/>
      <c r="CH709" s="180"/>
      <c r="CI709" s="180"/>
      <c r="CJ709" s="180"/>
      <c r="CK709" s="180"/>
      <c r="CL709" s="180"/>
      <c r="CM709" s="180"/>
      <c r="CN709" s="180"/>
      <c r="CO709" s="180"/>
      <c r="CP709" s="180"/>
      <c r="CQ709" s="180"/>
      <c r="CR709" s="180"/>
      <c r="CS709" s="180"/>
      <c r="CT709" s="180"/>
      <c r="CU709" s="180"/>
      <c r="CV709" s="180"/>
      <c r="CW709" s="180"/>
      <c r="CX709" s="180"/>
      <c r="CY709" s="180"/>
      <c r="CZ709" s="180"/>
    </row>
    <row r="710" spans="1:104" x14ac:dyDescent="0.45">
      <c r="A710" s="1" t="s">
        <v>273</v>
      </c>
      <c r="B710" s="73"/>
      <c r="C710" s="73">
        <f>SUM(C675:C709)</f>
        <v>103</v>
      </c>
      <c r="D710" s="180"/>
      <c r="E710" s="39"/>
      <c r="F710" s="179"/>
      <c r="G710" s="180"/>
      <c r="H710" s="180"/>
      <c r="I710" s="180"/>
      <c r="J710" s="180"/>
      <c r="K710" s="180"/>
      <c r="L710" s="180"/>
      <c r="M710" s="180"/>
      <c r="N710" s="180"/>
      <c r="O710" s="180"/>
      <c r="P710" s="180"/>
      <c r="AS710" s="180"/>
      <c r="AT710" s="180"/>
      <c r="AU710" s="180"/>
      <c r="AV710" s="180"/>
      <c r="AW710" s="180"/>
      <c r="AX710" s="180"/>
      <c r="AY710" s="180"/>
      <c r="AZ710" s="180"/>
      <c r="BA710" s="180"/>
      <c r="BB710" s="180"/>
      <c r="BC710" s="180"/>
      <c r="BD710" s="180"/>
      <c r="BE710" s="180"/>
      <c r="BF710" s="180"/>
      <c r="BG710" s="180"/>
      <c r="BH710" s="180"/>
      <c r="BI710" s="180"/>
      <c r="BJ710" s="180"/>
      <c r="BK710" s="180"/>
      <c r="BL710" s="180"/>
      <c r="BM710" s="180"/>
      <c r="BN710" s="180"/>
      <c r="BO710" s="180"/>
      <c r="BP710" s="180"/>
      <c r="BQ710" s="180"/>
      <c r="BR710" s="180"/>
      <c r="BS710" s="180"/>
      <c r="BT710" s="180"/>
      <c r="BU710" s="180"/>
      <c r="BV710" s="180"/>
      <c r="BW710" s="180"/>
      <c r="BX710" s="180"/>
      <c r="BY710" s="180"/>
      <c r="BZ710" s="180"/>
      <c r="CA710" s="180"/>
      <c r="CB710" s="180"/>
      <c r="CC710" s="180"/>
      <c r="CD710" s="180"/>
      <c r="CE710" s="180"/>
      <c r="CF710" s="180"/>
      <c r="CG710" s="180"/>
      <c r="CH710" s="180"/>
      <c r="CI710" s="180"/>
      <c r="CJ710" s="180"/>
      <c r="CK710" s="180"/>
      <c r="CL710" s="180"/>
      <c r="CM710" s="180"/>
      <c r="CN710" s="180"/>
      <c r="CO710" s="180"/>
      <c r="CP710" s="180"/>
      <c r="CQ710" s="180"/>
      <c r="CR710" s="180"/>
      <c r="CS710" s="180"/>
      <c r="CT710" s="180"/>
      <c r="CU710" s="180"/>
      <c r="CV710" s="180"/>
      <c r="CW710" s="180"/>
      <c r="CX710" s="180"/>
      <c r="CY710" s="180"/>
      <c r="CZ710" s="180"/>
    </row>
    <row r="711" spans="1:104" x14ac:dyDescent="0.45">
      <c r="A711" s="180"/>
      <c r="B711" s="73"/>
      <c r="C711" s="73"/>
      <c r="D711" s="180"/>
      <c r="E711" s="39"/>
      <c r="F711" s="179"/>
      <c r="G711" s="180"/>
      <c r="H711" s="180"/>
      <c r="I711" s="180"/>
      <c r="J711" s="180"/>
      <c r="K711" s="180"/>
      <c r="L711" s="180"/>
      <c r="M711" s="180"/>
      <c r="N711" s="180"/>
      <c r="O711" s="180"/>
      <c r="P711" s="180"/>
      <c r="AS711" s="180"/>
      <c r="AT711" s="180"/>
      <c r="AU711" s="180"/>
      <c r="AV711" s="180"/>
      <c r="AW711" s="180"/>
      <c r="AX711" s="180"/>
      <c r="AY711" s="180"/>
      <c r="AZ711" s="180"/>
      <c r="BA711" s="180"/>
      <c r="BB711" s="180"/>
      <c r="BC711" s="180"/>
      <c r="BD711" s="180"/>
      <c r="BE711" s="180"/>
      <c r="BF711" s="180"/>
      <c r="BG711" s="180"/>
      <c r="BH711" s="180"/>
      <c r="BI711" s="180"/>
      <c r="BJ711" s="180"/>
      <c r="BK711" s="180"/>
      <c r="BL711" s="180"/>
      <c r="BM711" s="180"/>
      <c r="BN711" s="180"/>
      <c r="BO711" s="180"/>
      <c r="BP711" s="180"/>
      <c r="BQ711" s="180"/>
      <c r="BR711" s="180"/>
      <c r="BS711" s="180"/>
      <c r="BT711" s="180"/>
      <c r="BU711" s="180"/>
      <c r="BV711" s="180"/>
      <c r="BW711" s="180"/>
      <c r="BX711" s="180"/>
      <c r="BY711" s="180"/>
      <c r="BZ711" s="180"/>
      <c r="CA711" s="180"/>
      <c r="CB711" s="180"/>
      <c r="CC711" s="180"/>
      <c r="CD711" s="180"/>
      <c r="CE711" s="180"/>
      <c r="CF711" s="180"/>
      <c r="CG711" s="180"/>
      <c r="CH711" s="180"/>
      <c r="CI711" s="180"/>
      <c r="CJ711" s="180"/>
      <c r="CK711" s="180"/>
      <c r="CL711" s="180"/>
      <c r="CM711" s="180"/>
      <c r="CN711" s="180"/>
      <c r="CO711" s="180"/>
      <c r="CP711" s="180"/>
      <c r="CQ711" s="180"/>
      <c r="CR711" s="180"/>
      <c r="CS711" s="180"/>
      <c r="CT711" s="180"/>
      <c r="CU711" s="180"/>
      <c r="CV711" s="180"/>
      <c r="CW711" s="180"/>
      <c r="CX711" s="180"/>
      <c r="CY711" s="180"/>
      <c r="CZ711" s="180"/>
    </row>
    <row r="712" spans="1:104" x14ac:dyDescent="0.45">
      <c r="A712" s="180" t="s">
        <v>42</v>
      </c>
      <c r="B712" s="73">
        <v>1</v>
      </c>
      <c r="C712" s="73"/>
      <c r="D712" s="180" t="s">
        <v>128</v>
      </c>
      <c r="E712" s="39">
        <v>43585</v>
      </c>
      <c r="F712" s="179">
        <v>0.61458333333333337</v>
      </c>
      <c r="G712" s="180">
        <v>2</v>
      </c>
      <c r="H712" s="180"/>
      <c r="I712" s="180"/>
      <c r="J712" s="180"/>
      <c r="K712" s="180"/>
      <c r="L712" s="180"/>
      <c r="M712" s="180"/>
      <c r="N712" s="180"/>
      <c r="O712" s="180"/>
      <c r="P712" s="180"/>
      <c r="AS712" s="180"/>
      <c r="AT712" s="180"/>
      <c r="AU712" s="180"/>
      <c r="AV712" s="180"/>
      <c r="AW712" s="180"/>
      <c r="AX712" s="180"/>
      <c r="AY712" s="180"/>
      <c r="AZ712" s="180"/>
      <c r="BA712" s="180"/>
      <c r="BB712" s="180"/>
      <c r="BC712" s="180"/>
      <c r="BD712" s="180"/>
      <c r="BE712" s="180"/>
      <c r="BF712" s="180"/>
      <c r="BG712" s="180"/>
      <c r="BH712" s="180"/>
      <c r="BI712" s="180"/>
      <c r="BJ712" s="180"/>
      <c r="BK712" s="180"/>
      <c r="BL712" s="180"/>
      <c r="BM712" s="180"/>
      <c r="BN712" s="180"/>
      <c r="BO712" s="180"/>
      <c r="BP712" s="180"/>
      <c r="BQ712" s="180"/>
      <c r="BR712" s="180"/>
      <c r="BS712" s="180"/>
      <c r="BT712" s="180"/>
      <c r="BU712" s="180"/>
      <c r="BV712" s="180"/>
      <c r="BW712" s="180"/>
      <c r="BX712" s="180"/>
      <c r="BY712" s="180"/>
      <c r="BZ712" s="180"/>
      <c r="CA712" s="180"/>
      <c r="CB712" s="180"/>
      <c r="CC712" s="180"/>
      <c r="CD712" s="180"/>
      <c r="CE712" s="180"/>
      <c r="CF712" s="180"/>
      <c r="CG712" s="180"/>
      <c r="CH712" s="180"/>
      <c r="CI712" s="180"/>
      <c r="CJ712" s="180"/>
      <c r="CK712" s="180"/>
      <c r="CL712" s="180"/>
      <c r="CM712" s="180"/>
      <c r="CN712" s="180"/>
      <c r="CO712" s="180"/>
      <c r="CP712" s="180"/>
      <c r="CQ712" s="180"/>
      <c r="CR712" s="180"/>
      <c r="CS712" s="180"/>
      <c r="CT712" s="180"/>
      <c r="CU712" s="180"/>
      <c r="CV712" s="180"/>
      <c r="CW712" s="180"/>
      <c r="CX712" s="180"/>
      <c r="CY712" s="180"/>
      <c r="CZ712" s="180"/>
    </row>
    <row r="713" spans="1:104" x14ac:dyDescent="0.45">
      <c r="A713" s="180" t="s">
        <v>42</v>
      </c>
      <c r="B713" s="73">
        <v>1</v>
      </c>
      <c r="C713" s="73">
        <v>1</v>
      </c>
      <c r="D713" s="180" t="s">
        <v>309</v>
      </c>
      <c r="E713" s="39">
        <v>43585</v>
      </c>
      <c r="F713" s="179">
        <v>0.59930555555555554</v>
      </c>
      <c r="G713" s="180">
        <v>2</v>
      </c>
      <c r="H713" s="180"/>
      <c r="I713" s="180"/>
      <c r="J713" s="180"/>
      <c r="K713" s="180"/>
      <c r="L713" s="180"/>
      <c r="M713" s="180"/>
      <c r="N713" s="180"/>
      <c r="O713" s="180"/>
      <c r="P713" s="180"/>
      <c r="AS713" s="180"/>
      <c r="AT713" s="180"/>
      <c r="AU713" s="180"/>
      <c r="AV713" s="180"/>
      <c r="AW713" s="180"/>
      <c r="AX713" s="180"/>
      <c r="AY713" s="180"/>
      <c r="AZ713" s="180"/>
      <c r="BA713" s="180"/>
      <c r="BB713" s="180"/>
      <c r="BC713" s="180"/>
      <c r="BD713" s="180"/>
      <c r="BE713" s="180"/>
      <c r="BF713" s="180"/>
      <c r="BG713" s="180"/>
      <c r="BH713" s="180"/>
      <c r="BI713" s="180"/>
      <c r="BJ713" s="180"/>
      <c r="BK713" s="180"/>
      <c r="BL713" s="180"/>
      <c r="BM713" s="180"/>
      <c r="BN713" s="180"/>
      <c r="BO713" s="180"/>
      <c r="BP713" s="180"/>
      <c r="BQ713" s="180"/>
      <c r="BR713" s="180"/>
      <c r="BS713" s="180"/>
      <c r="BT713" s="180"/>
      <c r="BU713" s="180"/>
      <c r="BV713" s="180"/>
      <c r="BW713" s="180"/>
      <c r="BX713" s="180"/>
      <c r="BY713" s="180"/>
      <c r="BZ713" s="180"/>
      <c r="CA713" s="180"/>
      <c r="CB713" s="180"/>
      <c r="CC713" s="180"/>
      <c r="CD713" s="180"/>
      <c r="CE713" s="180"/>
      <c r="CF713" s="180"/>
      <c r="CG713" s="180"/>
      <c r="CH713" s="180"/>
      <c r="CI713" s="180"/>
      <c r="CJ713" s="180"/>
      <c r="CK713" s="180"/>
      <c r="CL713" s="180"/>
      <c r="CM713" s="180"/>
      <c r="CN713" s="180"/>
      <c r="CO713" s="180"/>
      <c r="CP713" s="180"/>
      <c r="CQ713" s="180"/>
      <c r="CR713" s="180"/>
      <c r="CS713" s="180"/>
      <c r="CT713" s="180"/>
      <c r="CU713" s="180"/>
      <c r="CV713" s="180"/>
      <c r="CW713" s="180"/>
      <c r="CX713" s="180"/>
      <c r="CY713" s="180"/>
      <c r="CZ713" s="180"/>
    </row>
    <row r="714" spans="1:104" x14ac:dyDescent="0.45">
      <c r="A714" s="180" t="s">
        <v>42</v>
      </c>
      <c r="B714" s="73">
        <v>1</v>
      </c>
      <c r="C714" s="73"/>
      <c r="D714" s="180" t="s">
        <v>395</v>
      </c>
      <c r="E714" s="39">
        <v>43589</v>
      </c>
      <c r="F714" s="179">
        <v>0.42708333333333331</v>
      </c>
      <c r="G714" s="180">
        <v>1</v>
      </c>
      <c r="H714" s="180"/>
      <c r="I714" s="180"/>
      <c r="J714" s="180"/>
      <c r="K714" s="180"/>
      <c r="L714" s="180"/>
      <c r="M714" s="180"/>
      <c r="N714" s="180"/>
      <c r="O714" s="180"/>
      <c r="P714" s="180"/>
      <c r="AS714" s="180"/>
      <c r="AT714" s="180"/>
      <c r="AU714" s="180"/>
      <c r="AV714" s="180"/>
      <c r="AW714" s="180"/>
      <c r="AX714" s="180"/>
      <c r="AY714" s="180"/>
      <c r="AZ714" s="180"/>
      <c r="BA714" s="180"/>
      <c r="BB714" s="180"/>
      <c r="BC714" s="180"/>
      <c r="BD714" s="180"/>
      <c r="BE714" s="180"/>
      <c r="BF714" s="180"/>
      <c r="BG714" s="180"/>
      <c r="BH714" s="180"/>
      <c r="BI714" s="180"/>
      <c r="BJ714" s="180"/>
      <c r="BK714" s="180"/>
      <c r="BL714" s="180"/>
      <c r="BM714" s="180"/>
      <c r="BN714" s="180"/>
      <c r="BO714" s="180"/>
      <c r="BP714" s="180"/>
      <c r="BQ714" s="180"/>
      <c r="BR714" s="180"/>
      <c r="BS714" s="180"/>
      <c r="BT714" s="180"/>
      <c r="BU714" s="180"/>
      <c r="BV714" s="180"/>
      <c r="BW714" s="180"/>
      <c r="BX714" s="180"/>
      <c r="BY714" s="180"/>
      <c r="BZ714" s="180"/>
      <c r="CA714" s="180"/>
      <c r="CB714" s="180"/>
      <c r="CC714" s="180"/>
      <c r="CD714" s="180"/>
      <c r="CE714" s="180"/>
      <c r="CF714" s="180"/>
      <c r="CG714" s="180"/>
      <c r="CH714" s="180"/>
      <c r="CI714" s="180"/>
      <c r="CJ714" s="180"/>
      <c r="CK714" s="180"/>
      <c r="CL714" s="180"/>
      <c r="CM714" s="180"/>
      <c r="CN714" s="180"/>
      <c r="CO714" s="180"/>
      <c r="CP714" s="180"/>
      <c r="CQ714" s="180"/>
      <c r="CR714" s="180"/>
      <c r="CS714" s="180"/>
      <c r="CT714" s="180"/>
      <c r="CU714" s="180"/>
      <c r="CV714" s="180"/>
      <c r="CW714" s="180"/>
      <c r="CX714" s="180"/>
      <c r="CY714" s="180"/>
      <c r="CZ714" s="180"/>
    </row>
    <row r="715" spans="1:104" x14ac:dyDescent="0.45">
      <c r="A715" s="180" t="s">
        <v>42</v>
      </c>
      <c r="B715" s="73">
        <v>1</v>
      </c>
      <c r="C715" s="73">
        <v>1</v>
      </c>
      <c r="D715" s="180" t="s">
        <v>271</v>
      </c>
      <c r="E715" s="39">
        <v>43588</v>
      </c>
      <c r="F715" s="179">
        <v>0.67708333333333337</v>
      </c>
      <c r="G715" s="180">
        <v>3</v>
      </c>
      <c r="H715" s="180" t="s">
        <v>312</v>
      </c>
      <c r="I715" s="180"/>
      <c r="J715" s="180"/>
      <c r="K715" s="180"/>
      <c r="L715" s="180"/>
      <c r="M715" s="180"/>
      <c r="N715" s="180"/>
      <c r="O715" s="180"/>
      <c r="P715" s="180"/>
      <c r="AS715" s="180"/>
      <c r="AT715" s="180"/>
      <c r="AU715" s="180"/>
      <c r="AV715" s="180"/>
      <c r="AW715" s="180"/>
      <c r="AX715" s="180"/>
      <c r="AY715" s="180"/>
      <c r="AZ715" s="180"/>
      <c r="BA715" s="180"/>
      <c r="BB715" s="180"/>
      <c r="BC715" s="180"/>
      <c r="BD715" s="180"/>
      <c r="BE715" s="180"/>
      <c r="BF715" s="180"/>
      <c r="BG715" s="180"/>
      <c r="BH715" s="180"/>
      <c r="BI715" s="180"/>
      <c r="BJ715" s="180"/>
      <c r="BK715" s="180"/>
      <c r="BL715" s="180"/>
      <c r="BM715" s="180"/>
      <c r="BN715" s="180"/>
      <c r="BO715" s="180"/>
      <c r="BP715" s="180"/>
      <c r="BQ715" s="180"/>
      <c r="BR715" s="180"/>
      <c r="BS715" s="180"/>
      <c r="BT715" s="180"/>
      <c r="BU715" s="180"/>
      <c r="BV715" s="180"/>
      <c r="BW715" s="180"/>
      <c r="BX715" s="180"/>
      <c r="BY715" s="180"/>
      <c r="BZ715" s="180"/>
      <c r="CA715" s="180"/>
      <c r="CB715" s="180"/>
      <c r="CC715" s="180"/>
      <c r="CD715" s="180"/>
      <c r="CE715" s="180"/>
      <c r="CF715" s="180"/>
      <c r="CG715" s="180"/>
      <c r="CH715" s="180"/>
      <c r="CI715" s="180"/>
      <c r="CJ715" s="180"/>
      <c r="CK715" s="180"/>
      <c r="CL715" s="180"/>
      <c r="CM715" s="180"/>
      <c r="CN715" s="180"/>
      <c r="CO715" s="180"/>
      <c r="CP715" s="180"/>
      <c r="CQ715" s="180"/>
      <c r="CR715" s="180"/>
      <c r="CS715" s="180"/>
      <c r="CT715" s="180"/>
      <c r="CU715" s="180"/>
      <c r="CV715" s="180"/>
      <c r="CW715" s="180"/>
      <c r="CX715" s="180"/>
      <c r="CY715" s="180"/>
      <c r="CZ715" s="180"/>
    </row>
    <row r="716" spans="1:104" x14ac:dyDescent="0.45">
      <c r="A716" s="180" t="s">
        <v>42</v>
      </c>
      <c r="B716" s="73">
        <v>3</v>
      </c>
      <c r="C716" s="73">
        <v>3</v>
      </c>
      <c r="D716" s="180" t="s">
        <v>271</v>
      </c>
      <c r="E716" s="39">
        <v>43591</v>
      </c>
      <c r="F716" s="179">
        <v>0.45069444444444445</v>
      </c>
      <c r="G716" s="180">
        <v>2</v>
      </c>
      <c r="H716" s="180"/>
      <c r="I716" s="180"/>
      <c r="J716" s="180"/>
      <c r="K716" s="180"/>
      <c r="L716" s="180"/>
      <c r="M716" s="180"/>
      <c r="N716" s="180"/>
      <c r="O716" s="180"/>
      <c r="P716" s="180"/>
      <c r="AS716" s="180"/>
      <c r="AT716" s="180"/>
      <c r="AU716" s="180"/>
      <c r="AV716" s="180"/>
      <c r="AW716" s="180"/>
      <c r="AX716" s="180"/>
      <c r="AY716" s="180"/>
      <c r="AZ716" s="180"/>
      <c r="BA716" s="180"/>
      <c r="BB716" s="180"/>
      <c r="BC716" s="180"/>
      <c r="BD716" s="180"/>
      <c r="BE716" s="180"/>
      <c r="BF716" s="180"/>
      <c r="BG716" s="180"/>
      <c r="BH716" s="180"/>
      <c r="BI716" s="180"/>
      <c r="BJ716" s="180"/>
      <c r="BK716" s="180"/>
      <c r="BL716" s="180"/>
      <c r="BM716" s="180"/>
      <c r="BN716" s="180"/>
      <c r="BO716" s="180"/>
      <c r="BP716" s="180"/>
      <c r="BQ716" s="180"/>
      <c r="BR716" s="180"/>
      <c r="BS716" s="180"/>
      <c r="BT716" s="180"/>
      <c r="BU716" s="180"/>
      <c r="BV716" s="180"/>
      <c r="BW716" s="180"/>
      <c r="BX716" s="180"/>
      <c r="BY716" s="180"/>
      <c r="BZ716" s="180"/>
      <c r="CA716" s="180"/>
      <c r="CB716" s="180"/>
      <c r="CC716" s="180"/>
      <c r="CD716" s="180"/>
      <c r="CE716" s="180"/>
      <c r="CF716" s="180"/>
      <c r="CG716" s="180"/>
      <c r="CH716" s="180"/>
      <c r="CI716" s="180"/>
      <c r="CJ716" s="180"/>
      <c r="CK716" s="180"/>
      <c r="CL716" s="180"/>
      <c r="CM716" s="180"/>
      <c r="CN716" s="180"/>
      <c r="CO716" s="180"/>
      <c r="CP716" s="180"/>
      <c r="CQ716" s="180"/>
      <c r="CR716" s="180"/>
      <c r="CS716" s="180"/>
      <c r="CT716" s="180"/>
      <c r="CU716" s="180"/>
      <c r="CV716" s="180"/>
      <c r="CW716" s="180"/>
      <c r="CX716" s="180"/>
      <c r="CY716" s="180"/>
      <c r="CZ716" s="180"/>
    </row>
    <row r="717" spans="1:104" x14ac:dyDescent="0.45">
      <c r="A717" s="180" t="s">
        <v>42</v>
      </c>
      <c r="B717" s="73">
        <v>3</v>
      </c>
      <c r="C717" s="73"/>
      <c r="D717" s="180" t="s">
        <v>271</v>
      </c>
      <c r="E717" s="39">
        <v>43591</v>
      </c>
      <c r="F717" s="179">
        <v>0.44791666666666669</v>
      </c>
      <c r="G717" s="180">
        <v>2</v>
      </c>
      <c r="H717" s="180"/>
      <c r="I717" s="180"/>
      <c r="J717" s="180"/>
      <c r="K717" s="180"/>
      <c r="L717" s="180"/>
      <c r="M717" s="180"/>
      <c r="N717" s="180"/>
      <c r="O717" s="180"/>
      <c r="P717" s="180"/>
      <c r="AS717" s="180"/>
      <c r="AT717" s="180"/>
      <c r="AU717" s="180"/>
      <c r="AV717" s="180"/>
      <c r="AW717" s="180"/>
      <c r="AX717" s="180"/>
      <c r="AY717" s="180"/>
      <c r="AZ717" s="180"/>
      <c r="BA717" s="180"/>
      <c r="BB717" s="180"/>
      <c r="BC717" s="180"/>
      <c r="BD717" s="180"/>
      <c r="BE717" s="180"/>
      <c r="BF717" s="180"/>
      <c r="BG717" s="180"/>
      <c r="BH717" s="180"/>
      <c r="BI717" s="180"/>
      <c r="BJ717" s="180"/>
      <c r="BK717" s="180"/>
      <c r="BL717" s="180"/>
      <c r="BM717" s="180"/>
      <c r="BN717" s="180"/>
      <c r="BO717" s="180"/>
      <c r="BP717" s="180"/>
      <c r="BQ717" s="180"/>
      <c r="BR717" s="180"/>
      <c r="BS717" s="180"/>
      <c r="BT717" s="180"/>
      <c r="BU717" s="180"/>
      <c r="BV717" s="180"/>
      <c r="BW717" s="180"/>
      <c r="BX717" s="180"/>
      <c r="BY717" s="180"/>
      <c r="BZ717" s="180"/>
      <c r="CA717" s="180"/>
      <c r="CB717" s="180"/>
      <c r="CC717" s="180"/>
      <c r="CD717" s="180"/>
      <c r="CE717" s="180"/>
      <c r="CF717" s="180"/>
      <c r="CG717" s="180"/>
      <c r="CH717" s="180"/>
      <c r="CI717" s="180"/>
      <c r="CJ717" s="180"/>
      <c r="CK717" s="180"/>
      <c r="CL717" s="180"/>
      <c r="CM717" s="180"/>
      <c r="CN717" s="180"/>
      <c r="CO717" s="180"/>
      <c r="CP717" s="180"/>
      <c r="CQ717" s="180"/>
      <c r="CR717" s="180"/>
      <c r="CS717" s="180"/>
      <c r="CT717" s="180"/>
      <c r="CU717" s="180"/>
      <c r="CV717" s="180"/>
      <c r="CW717" s="180"/>
      <c r="CX717" s="180"/>
      <c r="CY717" s="180"/>
      <c r="CZ717" s="180"/>
    </row>
    <row r="718" spans="1:104" x14ac:dyDescent="0.45">
      <c r="A718" s="180" t="s">
        <v>42</v>
      </c>
      <c r="B718" s="73">
        <v>3</v>
      </c>
      <c r="C718" s="73"/>
      <c r="D718" s="180" t="s">
        <v>271</v>
      </c>
      <c r="E718" s="39">
        <v>43591</v>
      </c>
      <c r="F718" s="179">
        <v>0.50208333333333333</v>
      </c>
      <c r="G718" s="180">
        <v>1</v>
      </c>
      <c r="H718" s="180"/>
      <c r="I718" s="180"/>
      <c r="J718" s="180"/>
      <c r="K718" s="180"/>
      <c r="L718" s="180"/>
      <c r="M718" s="180"/>
      <c r="N718" s="180"/>
      <c r="O718" s="180"/>
      <c r="P718" s="180"/>
      <c r="AS718" s="180"/>
      <c r="AT718" s="180"/>
      <c r="AU718" s="180"/>
      <c r="AV718" s="180"/>
      <c r="AW718" s="180"/>
      <c r="AX718" s="180"/>
      <c r="AY718" s="180"/>
      <c r="AZ718" s="180"/>
      <c r="BA718" s="180"/>
      <c r="BB718" s="180"/>
      <c r="BC718" s="180"/>
      <c r="BD718" s="180"/>
      <c r="BE718" s="180"/>
      <c r="BF718" s="180"/>
      <c r="BG718" s="180"/>
      <c r="BH718" s="180"/>
      <c r="BI718" s="180"/>
      <c r="BJ718" s="180"/>
      <c r="BK718" s="180"/>
      <c r="BL718" s="180"/>
      <c r="BM718" s="180"/>
      <c r="BN718" s="180"/>
      <c r="BO718" s="180"/>
      <c r="BP718" s="180"/>
      <c r="BQ718" s="180"/>
      <c r="BR718" s="180"/>
      <c r="BS718" s="180"/>
      <c r="BT718" s="180"/>
      <c r="BU718" s="180"/>
      <c r="BV718" s="180"/>
      <c r="BW718" s="180"/>
      <c r="BX718" s="180"/>
      <c r="BY718" s="180"/>
      <c r="BZ718" s="180"/>
      <c r="CA718" s="180"/>
      <c r="CB718" s="180"/>
      <c r="CC718" s="180"/>
      <c r="CD718" s="180"/>
      <c r="CE718" s="180"/>
      <c r="CF718" s="180"/>
      <c r="CG718" s="180"/>
      <c r="CH718" s="180"/>
      <c r="CI718" s="180"/>
      <c r="CJ718" s="180"/>
      <c r="CK718" s="180"/>
      <c r="CL718" s="180"/>
      <c r="CM718" s="180"/>
      <c r="CN718" s="180"/>
      <c r="CO718" s="180"/>
      <c r="CP718" s="180"/>
      <c r="CQ718" s="180"/>
      <c r="CR718" s="180"/>
      <c r="CS718" s="180"/>
      <c r="CT718" s="180"/>
      <c r="CU718" s="180"/>
      <c r="CV718" s="180"/>
      <c r="CW718" s="180"/>
      <c r="CX718" s="180"/>
      <c r="CY718" s="180"/>
      <c r="CZ718" s="180"/>
    </row>
    <row r="719" spans="1:104" x14ac:dyDescent="0.45">
      <c r="A719" s="180" t="s">
        <v>42</v>
      </c>
      <c r="B719" s="73">
        <v>3</v>
      </c>
      <c r="C719" s="73">
        <v>3</v>
      </c>
      <c r="D719" s="180" t="s">
        <v>309</v>
      </c>
      <c r="E719" s="39">
        <v>43593</v>
      </c>
      <c r="F719" s="179">
        <v>0.80208333333333337</v>
      </c>
      <c r="G719" s="180">
        <v>5</v>
      </c>
      <c r="H719" s="180"/>
      <c r="I719" s="180"/>
      <c r="J719" s="180"/>
      <c r="K719" s="180"/>
      <c r="L719" s="180"/>
      <c r="M719" s="180"/>
      <c r="N719" s="180"/>
      <c r="O719" s="180"/>
      <c r="P719" s="180"/>
      <c r="AS719" s="180"/>
      <c r="AT719" s="180"/>
      <c r="AU719" s="180"/>
      <c r="AV719" s="180"/>
      <c r="AW719" s="180"/>
      <c r="AX719" s="180"/>
      <c r="AY719" s="180"/>
      <c r="AZ719" s="180"/>
      <c r="BA719" s="180"/>
      <c r="BB719" s="180"/>
      <c r="BC719" s="180"/>
      <c r="BD719" s="180"/>
      <c r="BE719" s="180"/>
      <c r="BF719" s="180"/>
      <c r="BG719" s="180"/>
      <c r="BH719" s="180"/>
      <c r="BI719" s="180"/>
      <c r="BJ719" s="180"/>
      <c r="BK719" s="180"/>
      <c r="BL719" s="180"/>
      <c r="BM719" s="180"/>
      <c r="BN719" s="180"/>
      <c r="BO719" s="180"/>
      <c r="BP719" s="180"/>
      <c r="BQ719" s="180"/>
      <c r="BR719" s="180"/>
      <c r="BS719" s="180"/>
      <c r="BT719" s="180"/>
      <c r="BU719" s="180"/>
      <c r="BV719" s="180"/>
      <c r="BW719" s="180"/>
      <c r="BX719" s="180"/>
      <c r="BY719" s="180"/>
      <c r="BZ719" s="180"/>
      <c r="CA719" s="180"/>
      <c r="CB719" s="180"/>
      <c r="CC719" s="180"/>
      <c r="CD719" s="180"/>
      <c r="CE719" s="180"/>
      <c r="CF719" s="180"/>
      <c r="CG719" s="180"/>
      <c r="CH719" s="180"/>
      <c r="CI719" s="180"/>
      <c r="CJ719" s="180"/>
      <c r="CK719" s="180"/>
      <c r="CL719" s="180"/>
      <c r="CM719" s="180"/>
      <c r="CN719" s="180"/>
      <c r="CO719" s="180"/>
      <c r="CP719" s="180"/>
      <c r="CQ719" s="180"/>
      <c r="CR719" s="180"/>
      <c r="CS719" s="180"/>
      <c r="CT719" s="180"/>
      <c r="CU719" s="180"/>
      <c r="CV719" s="180"/>
      <c r="CW719" s="180"/>
      <c r="CX719" s="180"/>
      <c r="CY719" s="180"/>
      <c r="CZ719" s="180"/>
    </row>
    <row r="720" spans="1:104" x14ac:dyDescent="0.45">
      <c r="A720" s="180" t="s">
        <v>42</v>
      </c>
      <c r="B720" s="73">
        <v>1</v>
      </c>
      <c r="C720" s="73">
        <v>1</v>
      </c>
      <c r="D720" s="180" t="s">
        <v>128</v>
      </c>
      <c r="E720" s="39">
        <v>43595</v>
      </c>
      <c r="F720" s="179">
        <v>0.60069444444444442</v>
      </c>
      <c r="G720" s="180">
        <v>1</v>
      </c>
      <c r="H720" s="180"/>
      <c r="I720" s="180"/>
      <c r="J720" s="180"/>
      <c r="K720" s="180"/>
      <c r="L720" s="180"/>
      <c r="M720" s="180"/>
      <c r="N720" s="180"/>
      <c r="O720" s="180"/>
      <c r="P720" s="180"/>
      <c r="AS720" s="180"/>
      <c r="AT720" s="180"/>
      <c r="AU720" s="180"/>
      <c r="AV720" s="180"/>
      <c r="AW720" s="180"/>
      <c r="AX720" s="180"/>
      <c r="AY720" s="180"/>
      <c r="AZ720" s="180"/>
      <c r="BA720" s="180"/>
      <c r="BB720" s="180"/>
      <c r="BC720" s="180"/>
      <c r="BD720" s="180"/>
      <c r="BE720" s="180"/>
      <c r="BF720" s="180"/>
      <c r="BG720" s="180"/>
      <c r="BH720" s="180"/>
      <c r="BI720" s="180"/>
      <c r="BJ720" s="180"/>
      <c r="BK720" s="180"/>
      <c r="BL720" s="180"/>
      <c r="BM720" s="180"/>
      <c r="BN720" s="180"/>
      <c r="BO720" s="180"/>
      <c r="BP720" s="180"/>
      <c r="BQ720" s="180"/>
      <c r="BR720" s="180"/>
      <c r="BS720" s="180"/>
      <c r="BT720" s="180"/>
      <c r="BU720" s="180"/>
      <c r="BV720" s="180"/>
      <c r="BW720" s="180"/>
      <c r="BX720" s="180"/>
      <c r="BY720" s="180"/>
      <c r="BZ720" s="180"/>
      <c r="CA720" s="180"/>
      <c r="CB720" s="180"/>
      <c r="CC720" s="180"/>
      <c r="CD720" s="180"/>
      <c r="CE720" s="180"/>
      <c r="CF720" s="180"/>
      <c r="CG720" s="180"/>
      <c r="CH720" s="180"/>
      <c r="CI720" s="180"/>
      <c r="CJ720" s="180"/>
      <c r="CK720" s="180"/>
      <c r="CL720" s="180"/>
      <c r="CM720" s="180"/>
      <c r="CN720" s="180"/>
      <c r="CO720" s="180"/>
      <c r="CP720" s="180"/>
      <c r="CQ720" s="180"/>
      <c r="CR720" s="180"/>
      <c r="CS720" s="180"/>
      <c r="CT720" s="180"/>
      <c r="CU720" s="180"/>
      <c r="CV720" s="180"/>
      <c r="CW720" s="180"/>
      <c r="CX720" s="180"/>
      <c r="CY720" s="180"/>
      <c r="CZ720" s="180"/>
    </row>
    <row r="721" spans="1:104" x14ac:dyDescent="0.45">
      <c r="A721" s="180" t="s">
        <v>42</v>
      </c>
      <c r="B721" s="73">
        <v>2</v>
      </c>
      <c r="C721" s="73"/>
      <c r="D721" s="180" t="s">
        <v>128</v>
      </c>
      <c r="E721" s="39">
        <v>43595</v>
      </c>
      <c r="F721" s="179">
        <v>0.6875</v>
      </c>
      <c r="G721" s="180">
        <v>4</v>
      </c>
      <c r="H721" s="180" t="s">
        <v>485</v>
      </c>
      <c r="I721" s="180"/>
      <c r="J721" s="180"/>
      <c r="K721" s="180"/>
      <c r="L721" s="180"/>
      <c r="M721" s="180"/>
      <c r="N721" s="180"/>
      <c r="O721" s="180"/>
      <c r="P721" s="180"/>
      <c r="AS721" s="180"/>
      <c r="AT721" s="180"/>
      <c r="AU721" s="180"/>
      <c r="AV721" s="180"/>
      <c r="AW721" s="180"/>
      <c r="AX721" s="180"/>
      <c r="AY721" s="180"/>
      <c r="AZ721" s="180"/>
      <c r="BA721" s="180"/>
      <c r="BB721" s="180"/>
      <c r="BC721" s="180"/>
      <c r="BD721" s="180"/>
      <c r="BE721" s="180"/>
      <c r="BF721" s="180"/>
      <c r="BG721" s="180"/>
      <c r="BH721" s="180"/>
      <c r="BI721" s="180"/>
      <c r="BJ721" s="180"/>
      <c r="BK721" s="180"/>
      <c r="BL721" s="180"/>
      <c r="BM721" s="180"/>
      <c r="BN721" s="180"/>
      <c r="BO721" s="180"/>
      <c r="BP721" s="180"/>
      <c r="BQ721" s="180"/>
      <c r="BR721" s="180"/>
      <c r="BS721" s="180"/>
      <c r="BT721" s="180"/>
      <c r="BU721" s="180"/>
      <c r="BV721" s="180"/>
      <c r="BW721" s="180"/>
      <c r="BX721" s="180"/>
      <c r="BY721" s="180"/>
      <c r="BZ721" s="180"/>
      <c r="CA721" s="180"/>
      <c r="CB721" s="180"/>
      <c r="CC721" s="180"/>
      <c r="CD721" s="180"/>
      <c r="CE721" s="180"/>
      <c r="CF721" s="180"/>
      <c r="CG721" s="180"/>
      <c r="CH721" s="180"/>
      <c r="CI721" s="180"/>
      <c r="CJ721" s="180"/>
      <c r="CK721" s="180"/>
      <c r="CL721" s="180"/>
      <c r="CM721" s="180"/>
      <c r="CN721" s="180"/>
      <c r="CO721" s="180"/>
      <c r="CP721" s="180"/>
      <c r="CQ721" s="180"/>
      <c r="CR721" s="180"/>
      <c r="CS721" s="180"/>
      <c r="CT721" s="180"/>
      <c r="CU721" s="180"/>
      <c r="CV721" s="180"/>
      <c r="CW721" s="180"/>
      <c r="CX721" s="180"/>
      <c r="CY721" s="180"/>
      <c r="CZ721" s="180"/>
    </row>
    <row r="722" spans="1:104" x14ac:dyDescent="0.45">
      <c r="A722" s="180" t="s">
        <v>42</v>
      </c>
      <c r="B722" s="73">
        <v>1</v>
      </c>
      <c r="C722" s="73">
        <v>1</v>
      </c>
      <c r="D722" s="180" t="s">
        <v>309</v>
      </c>
      <c r="E722" s="39">
        <v>43596</v>
      </c>
      <c r="F722" s="179">
        <v>0.79513888888888884</v>
      </c>
      <c r="G722" s="180">
        <v>1</v>
      </c>
      <c r="H722" s="180" t="s">
        <v>387</v>
      </c>
      <c r="I722" s="180"/>
      <c r="J722" s="180"/>
      <c r="K722" s="180"/>
      <c r="L722" s="180"/>
      <c r="M722" s="180"/>
      <c r="N722" s="180"/>
      <c r="O722" s="180"/>
      <c r="P722" s="180"/>
      <c r="AS722" s="180"/>
      <c r="AT722" s="180"/>
      <c r="AU722" s="180"/>
      <c r="AV722" s="180"/>
      <c r="AW722" s="180"/>
      <c r="AX722" s="180"/>
      <c r="AY722" s="180"/>
      <c r="AZ722" s="180"/>
      <c r="BA722" s="180"/>
      <c r="BB722" s="180"/>
      <c r="BC722" s="180"/>
      <c r="BD722" s="180"/>
      <c r="BE722" s="180"/>
      <c r="BF722" s="180"/>
      <c r="BG722" s="180"/>
      <c r="BH722" s="180"/>
      <c r="BI722" s="180"/>
      <c r="BJ722" s="180"/>
      <c r="BK722" s="180"/>
      <c r="BL722" s="180"/>
      <c r="BM722" s="180"/>
      <c r="BN722" s="180"/>
      <c r="BO722" s="180"/>
      <c r="BP722" s="180"/>
      <c r="BQ722" s="180"/>
      <c r="BR722" s="180"/>
      <c r="BS722" s="180"/>
      <c r="BT722" s="180"/>
      <c r="BU722" s="180"/>
      <c r="BV722" s="180"/>
      <c r="BW722" s="180"/>
      <c r="BX722" s="180"/>
      <c r="BY722" s="180"/>
      <c r="BZ722" s="180"/>
      <c r="CA722" s="180"/>
      <c r="CB722" s="180"/>
      <c r="CC722" s="180"/>
      <c r="CD722" s="180"/>
      <c r="CE722" s="180"/>
      <c r="CF722" s="180"/>
      <c r="CG722" s="180"/>
      <c r="CH722" s="180"/>
      <c r="CI722" s="180"/>
      <c r="CJ722" s="180"/>
      <c r="CK722" s="180"/>
      <c r="CL722" s="180"/>
      <c r="CM722" s="180"/>
      <c r="CN722" s="180"/>
      <c r="CO722" s="180"/>
      <c r="CP722" s="180"/>
      <c r="CQ722" s="180"/>
      <c r="CR722" s="180"/>
      <c r="CS722" s="180"/>
      <c r="CT722" s="180"/>
      <c r="CU722" s="180"/>
      <c r="CV722" s="180"/>
      <c r="CW722" s="180"/>
      <c r="CX722" s="180"/>
      <c r="CY722" s="180"/>
      <c r="CZ722" s="180"/>
    </row>
    <row r="723" spans="1:104" x14ac:dyDescent="0.45">
      <c r="A723" s="1" t="s">
        <v>273</v>
      </c>
      <c r="B723" s="73"/>
      <c r="C723" s="73">
        <f>SUM(C712:C722)</f>
        <v>10</v>
      </c>
      <c r="D723" s="180"/>
      <c r="E723" s="39"/>
      <c r="F723" s="179"/>
      <c r="G723" s="180"/>
      <c r="H723" s="180"/>
      <c r="I723" s="180"/>
      <c r="J723" s="180"/>
      <c r="K723" s="180"/>
      <c r="L723" s="180"/>
      <c r="M723" s="180"/>
      <c r="N723" s="180"/>
      <c r="O723" s="180"/>
      <c r="P723" s="180"/>
      <c r="AS723" s="180"/>
      <c r="AT723" s="180"/>
      <c r="AU723" s="180"/>
      <c r="AV723" s="180"/>
      <c r="AW723" s="180"/>
      <c r="AX723" s="180"/>
      <c r="AY723" s="180"/>
      <c r="AZ723" s="180"/>
      <c r="BA723" s="180"/>
      <c r="BB723" s="180"/>
      <c r="BC723" s="180"/>
      <c r="BD723" s="180"/>
      <c r="BE723" s="180"/>
      <c r="BF723" s="180"/>
      <c r="BG723" s="180"/>
      <c r="BH723" s="180"/>
      <c r="BI723" s="180"/>
      <c r="BJ723" s="180"/>
      <c r="BK723" s="180"/>
      <c r="BL723" s="180"/>
      <c r="BM723" s="180"/>
      <c r="BN723" s="180"/>
      <c r="BO723" s="180"/>
      <c r="BP723" s="180"/>
      <c r="BQ723" s="180"/>
      <c r="BR723" s="180"/>
      <c r="BS723" s="180"/>
      <c r="BT723" s="180"/>
      <c r="BU723" s="180"/>
      <c r="BV723" s="180"/>
      <c r="BW723" s="180"/>
      <c r="BX723" s="180"/>
      <c r="BY723" s="180"/>
      <c r="BZ723" s="180"/>
      <c r="CA723" s="180"/>
      <c r="CB723" s="180"/>
      <c r="CC723" s="180"/>
      <c r="CD723" s="180"/>
      <c r="CE723" s="180"/>
      <c r="CF723" s="180"/>
      <c r="CG723" s="180"/>
      <c r="CH723" s="180"/>
      <c r="CI723" s="180"/>
      <c r="CJ723" s="180"/>
      <c r="CK723" s="180"/>
      <c r="CL723" s="180"/>
      <c r="CM723" s="180"/>
      <c r="CN723" s="180"/>
      <c r="CO723" s="180"/>
      <c r="CP723" s="180"/>
      <c r="CQ723" s="180"/>
      <c r="CR723" s="180"/>
      <c r="CS723" s="180"/>
      <c r="CT723" s="180"/>
      <c r="CU723" s="180"/>
      <c r="CV723" s="180"/>
      <c r="CW723" s="180"/>
      <c r="CX723" s="180"/>
      <c r="CY723" s="180"/>
      <c r="CZ723" s="180"/>
    </row>
    <row r="724" spans="1:104" x14ac:dyDescent="0.45">
      <c r="A724" s="180"/>
      <c r="B724" s="73"/>
      <c r="C724" s="73"/>
      <c r="D724" s="180"/>
      <c r="E724" s="39"/>
      <c r="F724" s="179"/>
      <c r="G724" s="180"/>
      <c r="H724" s="180"/>
      <c r="I724" s="180"/>
      <c r="J724" s="180"/>
      <c r="K724" s="180"/>
      <c r="L724" s="180"/>
      <c r="M724" s="180"/>
      <c r="N724" s="180"/>
      <c r="O724" s="180"/>
      <c r="P724" s="180"/>
      <c r="AS724" s="180"/>
      <c r="AT724" s="180"/>
      <c r="AU724" s="180"/>
      <c r="AV724" s="180"/>
      <c r="AW724" s="180"/>
      <c r="AX724" s="180"/>
      <c r="AY724" s="180"/>
      <c r="AZ724" s="180"/>
      <c r="BA724" s="180"/>
      <c r="BB724" s="180"/>
      <c r="BC724" s="180"/>
      <c r="BD724" s="180"/>
      <c r="BE724" s="180"/>
      <c r="BF724" s="180"/>
      <c r="BG724" s="180"/>
      <c r="BH724" s="180"/>
      <c r="BI724" s="180"/>
      <c r="BJ724" s="180"/>
      <c r="BK724" s="180"/>
      <c r="BL724" s="180"/>
      <c r="BM724" s="180"/>
      <c r="BN724" s="180"/>
      <c r="BO724" s="180"/>
      <c r="BP724" s="180"/>
      <c r="BQ724" s="180"/>
      <c r="BR724" s="180"/>
      <c r="BS724" s="180"/>
      <c r="BT724" s="180"/>
      <c r="BU724" s="180"/>
      <c r="BV724" s="180"/>
      <c r="BW724" s="180"/>
      <c r="BX724" s="180"/>
      <c r="BY724" s="180"/>
      <c r="BZ724" s="180"/>
      <c r="CA724" s="180"/>
      <c r="CB724" s="180"/>
      <c r="CC724" s="180"/>
      <c r="CD724" s="180"/>
      <c r="CE724" s="180"/>
      <c r="CF724" s="180"/>
      <c r="CG724" s="180"/>
      <c r="CH724" s="180"/>
      <c r="CI724" s="180"/>
      <c r="CJ724" s="180"/>
      <c r="CK724" s="180"/>
      <c r="CL724" s="180"/>
      <c r="CM724" s="180"/>
      <c r="CN724" s="180"/>
      <c r="CO724" s="180"/>
      <c r="CP724" s="180"/>
      <c r="CQ724" s="180"/>
      <c r="CR724" s="180"/>
      <c r="CS724" s="180"/>
      <c r="CT724" s="180"/>
      <c r="CU724" s="180"/>
      <c r="CV724" s="180"/>
      <c r="CW724" s="180"/>
      <c r="CX724" s="180"/>
      <c r="CY724" s="180"/>
      <c r="CZ724" s="180"/>
    </row>
    <row r="725" spans="1:104" x14ac:dyDescent="0.45">
      <c r="A725" s="180" t="s">
        <v>84</v>
      </c>
      <c r="B725" s="73">
        <v>1</v>
      </c>
      <c r="C725" s="73">
        <v>1</v>
      </c>
      <c r="D725" s="180" t="s">
        <v>296</v>
      </c>
      <c r="E725" s="39">
        <v>43574</v>
      </c>
      <c r="F725" s="179">
        <v>0.67291666666666661</v>
      </c>
      <c r="G725" s="180">
        <v>1</v>
      </c>
      <c r="H725" s="180"/>
      <c r="I725" s="180"/>
      <c r="J725" s="180"/>
      <c r="K725" s="180"/>
      <c r="L725" s="180"/>
      <c r="M725" s="180"/>
      <c r="N725" s="180"/>
      <c r="O725" s="180"/>
      <c r="P725" s="180"/>
      <c r="AS725" s="180"/>
      <c r="AT725" s="180"/>
      <c r="AU725" s="180"/>
      <c r="AV725" s="180"/>
      <c r="AW725" s="180"/>
      <c r="AX725" s="180"/>
      <c r="AY725" s="180"/>
      <c r="AZ725" s="180"/>
      <c r="BA725" s="180"/>
      <c r="BB725" s="180"/>
      <c r="BC725" s="180"/>
      <c r="BD725" s="180"/>
      <c r="BE725" s="180"/>
      <c r="BF725" s="180"/>
      <c r="BG725" s="180"/>
      <c r="BH725" s="180"/>
      <c r="BI725" s="180"/>
      <c r="BJ725" s="180"/>
      <c r="BK725" s="180"/>
      <c r="BL725" s="180"/>
      <c r="BM725" s="180"/>
      <c r="BN725" s="180"/>
      <c r="BO725" s="180"/>
      <c r="BP725" s="180"/>
      <c r="BQ725" s="180"/>
      <c r="BR725" s="180"/>
      <c r="BS725" s="180"/>
      <c r="BT725" s="180"/>
      <c r="BU725" s="180"/>
      <c r="BV725" s="180"/>
      <c r="BW725" s="180"/>
      <c r="BX725" s="180"/>
      <c r="BY725" s="180"/>
      <c r="BZ725" s="180"/>
      <c r="CA725" s="180"/>
      <c r="CB725" s="180"/>
      <c r="CC725" s="180"/>
      <c r="CD725" s="180"/>
      <c r="CE725" s="180"/>
      <c r="CF725" s="180"/>
      <c r="CG725" s="180"/>
      <c r="CH725" s="180"/>
      <c r="CI725" s="180"/>
      <c r="CJ725" s="180"/>
      <c r="CK725" s="180"/>
      <c r="CL725" s="180"/>
      <c r="CM725" s="180"/>
      <c r="CN725" s="180"/>
      <c r="CO725" s="180"/>
      <c r="CP725" s="180"/>
      <c r="CQ725" s="180"/>
      <c r="CR725" s="180"/>
      <c r="CS725" s="180"/>
      <c r="CT725" s="180"/>
      <c r="CU725" s="180"/>
      <c r="CV725" s="180"/>
      <c r="CW725" s="180"/>
      <c r="CX725" s="180"/>
      <c r="CY725" s="180"/>
      <c r="CZ725" s="180"/>
    </row>
    <row r="726" spans="1:104" x14ac:dyDescent="0.45">
      <c r="A726" s="180" t="s">
        <v>84</v>
      </c>
      <c r="B726" s="73">
        <v>1</v>
      </c>
      <c r="C726" s="73"/>
      <c r="D726" s="180" t="s">
        <v>296</v>
      </c>
      <c r="E726" s="39">
        <v>43574</v>
      </c>
      <c r="F726" s="179">
        <v>0.77500000000000002</v>
      </c>
      <c r="G726" s="180">
        <v>1</v>
      </c>
      <c r="H726" s="180"/>
      <c r="I726" s="180"/>
      <c r="J726" s="180"/>
      <c r="K726" s="180"/>
      <c r="L726" s="180"/>
      <c r="M726" s="180"/>
      <c r="N726" s="180"/>
      <c r="O726" s="180"/>
      <c r="P726" s="180"/>
      <c r="AS726" s="180"/>
      <c r="AT726" s="180"/>
      <c r="AU726" s="180"/>
      <c r="AV726" s="180"/>
      <c r="AW726" s="180"/>
      <c r="AX726" s="180"/>
      <c r="AY726" s="180"/>
      <c r="AZ726" s="180"/>
      <c r="BA726" s="180"/>
      <c r="BB726" s="180"/>
      <c r="BC726" s="180"/>
      <c r="BD726" s="180"/>
      <c r="BE726" s="180"/>
      <c r="BF726" s="180"/>
      <c r="BG726" s="180"/>
      <c r="BH726" s="180"/>
      <c r="BI726" s="180"/>
      <c r="BJ726" s="180"/>
      <c r="BK726" s="180"/>
      <c r="BL726" s="180"/>
      <c r="BM726" s="180"/>
      <c r="BN726" s="180"/>
      <c r="BO726" s="180"/>
      <c r="BP726" s="180"/>
      <c r="BQ726" s="180"/>
      <c r="BR726" s="180"/>
      <c r="BS726" s="180"/>
      <c r="BT726" s="180"/>
      <c r="BU726" s="180"/>
      <c r="BV726" s="180"/>
      <c r="BW726" s="180"/>
      <c r="BX726" s="180"/>
      <c r="BY726" s="180"/>
      <c r="BZ726" s="180"/>
      <c r="CA726" s="180"/>
      <c r="CB726" s="180"/>
      <c r="CC726" s="180"/>
      <c r="CD726" s="180"/>
      <c r="CE726" s="180"/>
      <c r="CF726" s="180"/>
      <c r="CG726" s="180"/>
      <c r="CH726" s="180"/>
      <c r="CI726" s="180"/>
      <c r="CJ726" s="180"/>
      <c r="CK726" s="180"/>
      <c r="CL726" s="180"/>
      <c r="CM726" s="180"/>
      <c r="CN726" s="180"/>
      <c r="CO726" s="180"/>
      <c r="CP726" s="180"/>
      <c r="CQ726" s="180"/>
      <c r="CR726" s="180"/>
      <c r="CS726" s="180"/>
      <c r="CT726" s="180"/>
      <c r="CU726" s="180"/>
      <c r="CV726" s="180"/>
      <c r="CW726" s="180"/>
      <c r="CX726" s="180"/>
      <c r="CY726" s="180"/>
      <c r="CZ726" s="180"/>
    </row>
    <row r="727" spans="1:104" x14ac:dyDescent="0.45">
      <c r="A727" s="180" t="s">
        <v>84</v>
      </c>
      <c r="B727" s="73">
        <v>5</v>
      </c>
      <c r="C727" s="73">
        <v>5</v>
      </c>
      <c r="D727" s="180" t="s">
        <v>311</v>
      </c>
      <c r="E727" s="39">
        <v>43578</v>
      </c>
      <c r="F727" s="179">
        <v>0.8125</v>
      </c>
      <c r="G727" s="180">
        <v>9</v>
      </c>
      <c r="H727" s="180" t="s">
        <v>346</v>
      </c>
      <c r="I727" s="180"/>
      <c r="J727" s="180"/>
      <c r="K727" s="180"/>
      <c r="L727" s="180"/>
      <c r="M727" s="180"/>
      <c r="N727" s="180"/>
      <c r="O727" s="180"/>
      <c r="P727" s="180"/>
      <c r="AS727" s="180"/>
      <c r="AT727" s="180"/>
      <c r="AU727" s="180"/>
      <c r="AV727" s="180"/>
      <c r="AW727" s="180"/>
      <c r="AX727" s="180"/>
      <c r="AY727" s="180"/>
      <c r="AZ727" s="180"/>
      <c r="BA727" s="180"/>
      <c r="BB727" s="180"/>
      <c r="BC727" s="180"/>
      <c r="BD727" s="180"/>
      <c r="BE727" s="180"/>
      <c r="BF727" s="180"/>
      <c r="BG727" s="180"/>
      <c r="BH727" s="180"/>
      <c r="BI727" s="180"/>
      <c r="BJ727" s="180"/>
      <c r="BK727" s="180"/>
      <c r="BL727" s="180"/>
      <c r="BM727" s="180"/>
      <c r="BN727" s="180"/>
      <c r="BO727" s="180"/>
      <c r="BP727" s="180"/>
      <c r="BQ727" s="180"/>
      <c r="BR727" s="180"/>
      <c r="BS727" s="180"/>
      <c r="BT727" s="180"/>
      <c r="BU727" s="180"/>
      <c r="BV727" s="180"/>
      <c r="BW727" s="180"/>
      <c r="BX727" s="180"/>
      <c r="BY727" s="180"/>
      <c r="BZ727" s="180"/>
      <c r="CA727" s="180"/>
      <c r="CB727" s="180"/>
      <c r="CC727" s="180"/>
      <c r="CD727" s="180"/>
      <c r="CE727" s="180"/>
      <c r="CF727" s="180"/>
      <c r="CG727" s="180"/>
      <c r="CH727" s="180"/>
      <c r="CI727" s="180"/>
      <c r="CJ727" s="180"/>
      <c r="CK727" s="180"/>
      <c r="CL727" s="180"/>
      <c r="CM727" s="180"/>
      <c r="CN727" s="180"/>
      <c r="CO727" s="180"/>
      <c r="CP727" s="180"/>
      <c r="CQ727" s="180"/>
      <c r="CR727" s="180"/>
      <c r="CS727" s="180"/>
      <c r="CT727" s="180"/>
      <c r="CU727" s="180"/>
      <c r="CV727" s="180"/>
      <c r="CW727" s="180"/>
      <c r="CX727" s="180"/>
      <c r="CY727" s="180"/>
      <c r="CZ727" s="180"/>
    </row>
    <row r="728" spans="1:104" x14ac:dyDescent="0.45">
      <c r="A728" s="180" t="s">
        <v>84</v>
      </c>
      <c r="B728" s="73">
        <v>5</v>
      </c>
      <c r="C728" s="73">
        <v>5</v>
      </c>
      <c r="D728" s="180" t="s">
        <v>349</v>
      </c>
      <c r="E728" s="39">
        <v>43582</v>
      </c>
      <c r="F728" s="179">
        <v>0.44375000000000003</v>
      </c>
      <c r="G728" s="180">
        <v>2</v>
      </c>
      <c r="H728" s="180" t="s">
        <v>350</v>
      </c>
      <c r="I728" s="180"/>
      <c r="J728" s="180"/>
      <c r="K728" s="180"/>
      <c r="L728" s="180"/>
      <c r="M728" s="180"/>
      <c r="N728" s="180"/>
      <c r="O728" s="180"/>
      <c r="P728" s="180"/>
      <c r="AS728" s="180"/>
      <c r="AT728" s="180"/>
      <c r="AU728" s="180"/>
      <c r="AV728" s="180"/>
      <c r="AW728" s="180"/>
      <c r="AX728" s="180"/>
      <c r="AY728" s="180"/>
      <c r="AZ728" s="180"/>
      <c r="BA728" s="180"/>
      <c r="BB728" s="180"/>
      <c r="BC728" s="180"/>
      <c r="BD728" s="180"/>
      <c r="BE728" s="180"/>
      <c r="BF728" s="180"/>
      <c r="BG728" s="180"/>
      <c r="BH728" s="180"/>
      <c r="BI728" s="180"/>
      <c r="BJ728" s="180"/>
      <c r="BK728" s="180"/>
      <c r="BL728" s="180"/>
      <c r="BM728" s="180"/>
      <c r="BN728" s="180"/>
      <c r="BO728" s="180"/>
      <c r="BP728" s="180"/>
      <c r="BQ728" s="180"/>
      <c r="BR728" s="180"/>
      <c r="BS728" s="180"/>
      <c r="BT728" s="180"/>
      <c r="BU728" s="180"/>
      <c r="BV728" s="180"/>
      <c r="BW728" s="180"/>
      <c r="BX728" s="180"/>
      <c r="BY728" s="180"/>
      <c r="BZ728" s="180"/>
      <c r="CA728" s="180"/>
      <c r="CB728" s="180"/>
      <c r="CC728" s="180"/>
      <c r="CD728" s="180"/>
      <c r="CE728" s="180"/>
      <c r="CF728" s="180"/>
      <c r="CG728" s="180"/>
      <c r="CH728" s="180"/>
      <c r="CI728" s="180"/>
      <c r="CJ728" s="180"/>
      <c r="CK728" s="180"/>
      <c r="CL728" s="180"/>
      <c r="CM728" s="180"/>
      <c r="CN728" s="180"/>
      <c r="CO728" s="180"/>
      <c r="CP728" s="180"/>
      <c r="CQ728" s="180"/>
      <c r="CR728" s="180"/>
      <c r="CS728" s="180"/>
      <c r="CT728" s="180"/>
      <c r="CU728" s="180"/>
      <c r="CV728" s="180"/>
      <c r="CW728" s="180"/>
      <c r="CX728" s="180"/>
      <c r="CY728" s="180"/>
      <c r="CZ728" s="180"/>
    </row>
    <row r="729" spans="1:104" x14ac:dyDescent="0.45">
      <c r="A729" s="180" t="s">
        <v>84</v>
      </c>
      <c r="B729" s="73">
        <v>5</v>
      </c>
      <c r="C729" s="73"/>
      <c r="D729" s="180" t="s">
        <v>349</v>
      </c>
      <c r="E729" s="39">
        <v>43582</v>
      </c>
      <c r="F729" s="179">
        <v>0.44375000000000003</v>
      </c>
      <c r="G729" s="180">
        <v>2</v>
      </c>
      <c r="H729" s="180" t="s">
        <v>350</v>
      </c>
      <c r="I729" s="180"/>
      <c r="J729" s="180"/>
      <c r="K729" s="180"/>
      <c r="L729" s="180"/>
      <c r="M729" s="180"/>
      <c r="N729" s="180"/>
      <c r="O729" s="180"/>
      <c r="P729" s="180"/>
      <c r="AS729" s="180"/>
      <c r="AT729" s="180"/>
      <c r="AU729" s="180"/>
      <c r="AV729" s="180"/>
      <c r="AW729" s="180"/>
      <c r="AX729" s="180"/>
      <c r="AY729" s="180"/>
      <c r="AZ729" s="180"/>
      <c r="BA729" s="180"/>
      <c r="BB729" s="180"/>
      <c r="BC729" s="180"/>
      <c r="BD729" s="180"/>
      <c r="BE729" s="180"/>
      <c r="BF729" s="180"/>
      <c r="BG729" s="180"/>
      <c r="BH729" s="180"/>
      <c r="BI729" s="180"/>
      <c r="BJ729" s="180"/>
      <c r="BK729" s="180"/>
      <c r="BL729" s="180"/>
      <c r="BM729" s="180"/>
      <c r="BN729" s="180"/>
      <c r="BO729" s="180"/>
      <c r="BP729" s="180"/>
      <c r="BQ729" s="180"/>
      <c r="BR729" s="180"/>
      <c r="BS729" s="180"/>
      <c r="BT729" s="180"/>
      <c r="BU729" s="180"/>
      <c r="BV729" s="180"/>
      <c r="BW729" s="180"/>
      <c r="BX729" s="180"/>
      <c r="BY729" s="180"/>
      <c r="BZ729" s="180"/>
      <c r="CA729" s="180"/>
      <c r="CB729" s="180"/>
      <c r="CC729" s="180"/>
      <c r="CD729" s="180"/>
      <c r="CE729" s="180"/>
      <c r="CF729" s="180"/>
      <c r="CG729" s="180"/>
      <c r="CH729" s="180"/>
      <c r="CI729" s="180"/>
      <c r="CJ729" s="180"/>
      <c r="CK729" s="180"/>
      <c r="CL729" s="180"/>
      <c r="CM729" s="180"/>
      <c r="CN729" s="180"/>
      <c r="CO729" s="180"/>
      <c r="CP729" s="180"/>
      <c r="CQ729" s="180"/>
      <c r="CR729" s="180"/>
      <c r="CS729" s="180"/>
      <c r="CT729" s="180"/>
      <c r="CU729" s="180"/>
      <c r="CV729" s="180"/>
      <c r="CW729" s="180"/>
      <c r="CX729" s="180"/>
      <c r="CY729" s="180"/>
      <c r="CZ729" s="180"/>
    </row>
    <row r="730" spans="1:104" x14ac:dyDescent="0.45">
      <c r="A730" s="180" t="s">
        <v>84</v>
      </c>
      <c r="B730" s="73">
        <v>5</v>
      </c>
      <c r="C730" s="73">
        <v>5</v>
      </c>
      <c r="D730" s="180" t="s">
        <v>309</v>
      </c>
      <c r="E730" s="39">
        <v>43585</v>
      </c>
      <c r="F730" s="179">
        <v>0.59930555555555554</v>
      </c>
      <c r="G730" s="180">
        <v>2</v>
      </c>
      <c r="H730" s="180"/>
      <c r="I730" s="180"/>
      <c r="J730" s="180"/>
      <c r="K730" s="180"/>
      <c r="L730" s="180"/>
      <c r="M730" s="180"/>
      <c r="N730" s="180"/>
      <c r="O730" s="180"/>
      <c r="P730" s="180"/>
      <c r="AS730" s="180"/>
      <c r="AT730" s="180"/>
      <c r="AU730" s="180"/>
      <c r="AV730" s="180"/>
      <c r="AW730" s="180"/>
      <c r="AX730" s="180"/>
      <c r="AY730" s="180"/>
      <c r="AZ730" s="180"/>
      <c r="BA730" s="180"/>
      <c r="BB730" s="180"/>
      <c r="BC730" s="180"/>
      <c r="BD730" s="180"/>
      <c r="BE730" s="180"/>
      <c r="BF730" s="180"/>
      <c r="BG730" s="180"/>
      <c r="BH730" s="180"/>
      <c r="BI730" s="180"/>
      <c r="BJ730" s="180"/>
      <c r="BK730" s="180"/>
      <c r="BL730" s="180"/>
      <c r="BM730" s="180"/>
      <c r="BN730" s="180"/>
      <c r="BO730" s="180"/>
      <c r="BP730" s="180"/>
      <c r="BQ730" s="180"/>
      <c r="BR730" s="180"/>
      <c r="BS730" s="180"/>
      <c r="BT730" s="180"/>
      <c r="BU730" s="180"/>
      <c r="BV730" s="180"/>
      <c r="BW730" s="180"/>
      <c r="BX730" s="180"/>
      <c r="BY730" s="180"/>
      <c r="BZ730" s="180"/>
      <c r="CA730" s="180"/>
      <c r="CB730" s="180"/>
      <c r="CC730" s="180"/>
      <c r="CD730" s="180"/>
      <c r="CE730" s="180"/>
      <c r="CF730" s="180"/>
      <c r="CG730" s="180"/>
      <c r="CH730" s="180"/>
      <c r="CI730" s="180"/>
      <c r="CJ730" s="180"/>
      <c r="CK730" s="180"/>
      <c r="CL730" s="180"/>
      <c r="CM730" s="180"/>
      <c r="CN730" s="180"/>
      <c r="CO730" s="180"/>
      <c r="CP730" s="180"/>
      <c r="CQ730" s="180"/>
      <c r="CR730" s="180"/>
      <c r="CS730" s="180"/>
      <c r="CT730" s="180"/>
      <c r="CU730" s="180"/>
      <c r="CV730" s="180"/>
      <c r="CW730" s="180"/>
      <c r="CX730" s="180"/>
      <c r="CY730" s="180"/>
      <c r="CZ730" s="180"/>
    </row>
    <row r="731" spans="1:104" x14ac:dyDescent="0.45">
      <c r="A731" s="180" t="s">
        <v>84</v>
      </c>
      <c r="B731" s="73">
        <v>2</v>
      </c>
      <c r="C731" s="73">
        <v>2</v>
      </c>
      <c r="D731" s="180" t="s">
        <v>356</v>
      </c>
      <c r="E731" s="39">
        <v>43587</v>
      </c>
      <c r="F731" s="179">
        <v>0.47291666666666665</v>
      </c>
      <c r="G731" s="180">
        <v>2</v>
      </c>
      <c r="H731" s="180"/>
      <c r="I731" s="180"/>
      <c r="J731" s="180"/>
      <c r="K731" s="180"/>
      <c r="L731" s="180"/>
      <c r="M731" s="180"/>
      <c r="N731" s="180"/>
      <c r="O731" s="180"/>
      <c r="P731" s="180"/>
      <c r="AS731" s="180"/>
      <c r="AT731" s="180"/>
      <c r="AU731" s="180"/>
      <c r="AV731" s="180"/>
      <c r="AW731" s="180"/>
      <c r="AX731" s="180"/>
      <c r="AY731" s="180"/>
      <c r="AZ731" s="180"/>
      <c r="BA731" s="180"/>
      <c r="BB731" s="180"/>
      <c r="BC731" s="180"/>
      <c r="BD731" s="180"/>
      <c r="BE731" s="180"/>
      <c r="BF731" s="180"/>
      <c r="BG731" s="180"/>
      <c r="BH731" s="180"/>
      <c r="BI731" s="180"/>
      <c r="BJ731" s="180"/>
      <c r="BK731" s="180"/>
      <c r="BL731" s="180"/>
      <c r="BM731" s="180"/>
      <c r="BN731" s="180"/>
      <c r="BO731" s="180"/>
      <c r="BP731" s="180"/>
      <c r="BQ731" s="180"/>
      <c r="BR731" s="180"/>
      <c r="BS731" s="180"/>
      <c r="BT731" s="180"/>
      <c r="BU731" s="180"/>
      <c r="BV731" s="180"/>
      <c r="BW731" s="180"/>
      <c r="BX731" s="180"/>
      <c r="BY731" s="180"/>
      <c r="BZ731" s="180"/>
      <c r="CA731" s="180"/>
      <c r="CB731" s="180"/>
      <c r="CC731" s="180"/>
      <c r="CD731" s="180"/>
      <c r="CE731" s="180"/>
      <c r="CF731" s="180"/>
      <c r="CG731" s="180"/>
      <c r="CH731" s="180"/>
      <c r="CI731" s="180"/>
      <c r="CJ731" s="180"/>
      <c r="CK731" s="180"/>
      <c r="CL731" s="180"/>
      <c r="CM731" s="180"/>
      <c r="CN731" s="180"/>
      <c r="CO731" s="180"/>
      <c r="CP731" s="180"/>
      <c r="CQ731" s="180"/>
      <c r="CR731" s="180"/>
      <c r="CS731" s="180"/>
      <c r="CT731" s="180"/>
      <c r="CU731" s="180"/>
      <c r="CV731" s="180"/>
      <c r="CW731" s="180"/>
      <c r="CX731" s="180"/>
      <c r="CY731" s="180"/>
      <c r="CZ731" s="180"/>
    </row>
    <row r="732" spans="1:104" x14ac:dyDescent="0.45">
      <c r="A732" s="180" t="s">
        <v>84</v>
      </c>
      <c r="B732" s="73">
        <v>1</v>
      </c>
      <c r="C732" s="73"/>
      <c r="D732" s="180" t="s">
        <v>128</v>
      </c>
      <c r="E732" s="39">
        <v>43587</v>
      </c>
      <c r="F732" s="179">
        <v>0.5444444444444444</v>
      </c>
      <c r="G732" s="180">
        <v>1</v>
      </c>
      <c r="H732" s="180" t="s">
        <v>34</v>
      </c>
      <c r="I732" s="180"/>
      <c r="J732" s="180"/>
      <c r="K732" s="180"/>
      <c r="L732" s="180"/>
      <c r="M732" s="180"/>
      <c r="N732" s="180"/>
      <c r="O732" s="180"/>
      <c r="P732" s="180"/>
      <c r="AS732" s="180"/>
      <c r="AT732" s="180"/>
      <c r="AU732" s="180"/>
      <c r="AV732" s="180"/>
      <c r="AW732" s="180"/>
      <c r="AX732" s="180"/>
      <c r="AY732" s="180"/>
      <c r="AZ732" s="180"/>
      <c r="BA732" s="180"/>
      <c r="BB732" s="180"/>
      <c r="BC732" s="180"/>
      <c r="BD732" s="180"/>
      <c r="BE732" s="180"/>
      <c r="BF732" s="180"/>
      <c r="BG732" s="180"/>
      <c r="BH732" s="180"/>
      <c r="BI732" s="180"/>
      <c r="BJ732" s="180"/>
      <c r="BK732" s="180"/>
      <c r="BL732" s="180"/>
      <c r="BM732" s="180"/>
      <c r="BN732" s="180"/>
      <c r="BO732" s="180"/>
      <c r="BP732" s="180"/>
      <c r="BQ732" s="180"/>
      <c r="BR732" s="180"/>
      <c r="BS732" s="180"/>
      <c r="BT732" s="180"/>
      <c r="BU732" s="180"/>
      <c r="BV732" s="180"/>
      <c r="BW732" s="180"/>
      <c r="BX732" s="180"/>
      <c r="BY732" s="180"/>
      <c r="BZ732" s="180"/>
      <c r="CA732" s="180"/>
      <c r="CB732" s="180"/>
      <c r="CC732" s="180"/>
      <c r="CD732" s="180"/>
      <c r="CE732" s="180"/>
      <c r="CF732" s="180"/>
      <c r="CG732" s="180"/>
      <c r="CH732" s="180"/>
      <c r="CI732" s="180"/>
      <c r="CJ732" s="180"/>
      <c r="CK732" s="180"/>
      <c r="CL732" s="180"/>
      <c r="CM732" s="180"/>
      <c r="CN732" s="180"/>
      <c r="CO732" s="180"/>
      <c r="CP732" s="180"/>
      <c r="CQ732" s="180"/>
      <c r="CR732" s="180"/>
      <c r="CS732" s="180"/>
      <c r="CT732" s="180"/>
      <c r="CU732" s="180"/>
      <c r="CV732" s="180"/>
      <c r="CW732" s="180"/>
      <c r="CX732" s="180"/>
      <c r="CY732" s="180"/>
      <c r="CZ732" s="180"/>
    </row>
    <row r="733" spans="1:104" x14ac:dyDescent="0.45">
      <c r="A733" s="180" t="s">
        <v>84</v>
      </c>
      <c r="B733" s="73">
        <v>1</v>
      </c>
      <c r="C733" s="73"/>
      <c r="D733" s="180" t="s">
        <v>128</v>
      </c>
      <c r="E733" s="39">
        <v>43588</v>
      </c>
      <c r="F733" s="179">
        <v>0.68125000000000002</v>
      </c>
      <c r="G733" s="180">
        <v>4</v>
      </c>
      <c r="H733" s="180" t="s">
        <v>310</v>
      </c>
      <c r="I733" s="180"/>
      <c r="J733" s="180"/>
      <c r="K733" s="180"/>
      <c r="L733" s="180"/>
      <c r="M733" s="180"/>
      <c r="N733" s="180"/>
      <c r="O733" s="180"/>
      <c r="P733" s="180"/>
      <c r="AS733" s="180"/>
      <c r="AT733" s="180"/>
      <c r="AU733" s="180"/>
      <c r="AV733" s="180"/>
      <c r="AW733" s="180"/>
      <c r="AX733" s="180"/>
      <c r="AY733" s="180"/>
      <c r="AZ733" s="180"/>
      <c r="BA733" s="180"/>
      <c r="BB733" s="180"/>
      <c r="BC733" s="180"/>
      <c r="BD733" s="180"/>
      <c r="BE733" s="180"/>
      <c r="BF733" s="180"/>
      <c r="BG733" s="180"/>
      <c r="BH733" s="180"/>
      <c r="BI733" s="180"/>
      <c r="BJ733" s="180"/>
      <c r="BK733" s="180"/>
      <c r="BL733" s="180"/>
      <c r="BM733" s="180"/>
      <c r="BN733" s="180"/>
      <c r="BO733" s="180"/>
      <c r="BP733" s="180"/>
      <c r="BQ733" s="180"/>
      <c r="BR733" s="180"/>
      <c r="BS733" s="180"/>
      <c r="BT733" s="180"/>
      <c r="BU733" s="180"/>
      <c r="BV733" s="180"/>
      <c r="BW733" s="180"/>
      <c r="BX733" s="180"/>
      <c r="BY733" s="180"/>
      <c r="BZ733" s="180"/>
      <c r="CA733" s="180"/>
      <c r="CB733" s="180"/>
      <c r="CC733" s="180"/>
      <c r="CD733" s="180"/>
      <c r="CE733" s="180"/>
      <c r="CF733" s="180"/>
      <c r="CG733" s="180"/>
      <c r="CH733" s="180"/>
      <c r="CI733" s="180"/>
      <c r="CJ733" s="180"/>
      <c r="CK733" s="180"/>
      <c r="CL733" s="180"/>
      <c r="CM733" s="180"/>
      <c r="CN733" s="180"/>
      <c r="CO733" s="180"/>
      <c r="CP733" s="180"/>
      <c r="CQ733" s="180"/>
      <c r="CR733" s="180"/>
      <c r="CS733" s="180"/>
      <c r="CT733" s="180"/>
      <c r="CU733" s="180"/>
      <c r="CV733" s="180"/>
      <c r="CW733" s="180"/>
      <c r="CX733" s="180"/>
      <c r="CY733" s="180"/>
      <c r="CZ733" s="180"/>
    </row>
    <row r="734" spans="1:104" x14ac:dyDescent="0.45">
      <c r="A734" s="180" t="s">
        <v>84</v>
      </c>
      <c r="B734" s="73">
        <v>1</v>
      </c>
      <c r="C734" s="73">
        <v>1</v>
      </c>
      <c r="D734" s="180" t="s">
        <v>311</v>
      </c>
      <c r="E734" s="39">
        <v>43588</v>
      </c>
      <c r="F734" s="179">
        <v>0.67708333333333337</v>
      </c>
      <c r="G734" s="180">
        <v>9</v>
      </c>
      <c r="H734" s="180" t="s">
        <v>312</v>
      </c>
      <c r="I734" s="180"/>
      <c r="J734" s="180"/>
      <c r="K734" s="180"/>
      <c r="L734" s="180"/>
      <c r="M734" s="180"/>
      <c r="N734" s="180"/>
      <c r="O734" s="180"/>
      <c r="P734" s="180"/>
      <c r="AS734" s="180"/>
      <c r="AT734" s="180"/>
      <c r="AU734" s="180"/>
      <c r="AV734" s="180"/>
      <c r="AW734" s="180"/>
      <c r="AX734" s="180"/>
      <c r="AY734" s="180"/>
      <c r="AZ734" s="180"/>
      <c r="BA734" s="180"/>
      <c r="BB734" s="180"/>
      <c r="BC734" s="180"/>
      <c r="BD734" s="180"/>
      <c r="BE734" s="180"/>
      <c r="BF734" s="180"/>
      <c r="BG734" s="180"/>
      <c r="BH734" s="180"/>
      <c r="BI734" s="180"/>
      <c r="BJ734" s="180"/>
      <c r="BK734" s="180"/>
      <c r="BL734" s="180"/>
      <c r="BM734" s="180"/>
      <c r="BN734" s="180"/>
      <c r="BO734" s="180"/>
      <c r="BP734" s="180"/>
      <c r="BQ734" s="180"/>
      <c r="BR734" s="180"/>
      <c r="BS734" s="180"/>
      <c r="BT734" s="180"/>
      <c r="BU734" s="180"/>
      <c r="BV734" s="180"/>
      <c r="BW734" s="180"/>
      <c r="BX734" s="180"/>
      <c r="BY734" s="180"/>
      <c r="BZ734" s="180"/>
      <c r="CA734" s="180"/>
      <c r="CB734" s="180"/>
      <c r="CC734" s="180"/>
      <c r="CD734" s="180"/>
      <c r="CE734" s="180"/>
      <c r="CF734" s="180"/>
      <c r="CG734" s="180"/>
      <c r="CH734" s="180"/>
      <c r="CI734" s="180"/>
      <c r="CJ734" s="180"/>
      <c r="CK734" s="180"/>
      <c r="CL734" s="180"/>
      <c r="CM734" s="180"/>
      <c r="CN734" s="180"/>
      <c r="CO734" s="180"/>
      <c r="CP734" s="180"/>
      <c r="CQ734" s="180"/>
      <c r="CR734" s="180"/>
      <c r="CS734" s="180"/>
      <c r="CT734" s="180"/>
      <c r="CU734" s="180"/>
      <c r="CV734" s="180"/>
      <c r="CW734" s="180"/>
      <c r="CX734" s="180"/>
      <c r="CY734" s="180"/>
      <c r="CZ734" s="180"/>
    </row>
    <row r="735" spans="1:104" x14ac:dyDescent="0.45">
      <c r="A735" s="180" t="s">
        <v>84</v>
      </c>
      <c r="B735" s="73">
        <v>2</v>
      </c>
      <c r="C735" s="73"/>
      <c r="D735" s="180" t="s">
        <v>309</v>
      </c>
      <c r="E735" s="39">
        <v>43588</v>
      </c>
      <c r="F735" s="179">
        <v>0.71527777777777779</v>
      </c>
      <c r="G735" s="180">
        <v>1</v>
      </c>
      <c r="H735" s="180"/>
      <c r="I735" s="180" t="s">
        <v>486</v>
      </c>
      <c r="J735" s="180"/>
      <c r="K735" s="180"/>
      <c r="L735" s="180"/>
      <c r="M735" s="180"/>
      <c r="N735" s="180"/>
      <c r="O735" s="180"/>
      <c r="P735" s="180"/>
      <c r="AS735" s="180"/>
      <c r="AT735" s="180"/>
      <c r="AU735" s="180"/>
      <c r="AV735" s="180"/>
      <c r="AW735" s="180"/>
      <c r="AX735" s="180"/>
      <c r="AY735" s="180"/>
      <c r="AZ735" s="180"/>
      <c r="BA735" s="180"/>
      <c r="BB735" s="180"/>
      <c r="BC735" s="180"/>
      <c r="BD735" s="180"/>
      <c r="BE735" s="180"/>
      <c r="BF735" s="180"/>
      <c r="BG735" s="180"/>
      <c r="BH735" s="180"/>
      <c r="BI735" s="180"/>
      <c r="BJ735" s="180"/>
      <c r="BK735" s="180"/>
      <c r="BL735" s="180"/>
      <c r="BM735" s="180"/>
      <c r="BN735" s="180"/>
      <c r="BO735" s="180"/>
      <c r="BP735" s="180"/>
      <c r="BQ735" s="180"/>
      <c r="BR735" s="180"/>
      <c r="BS735" s="180"/>
      <c r="BT735" s="180"/>
      <c r="BU735" s="180"/>
      <c r="BV735" s="180"/>
      <c r="BW735" s="180"/>
      <c r="BX735" s="180"/>
      <c r="BY735" s="180"/>
      <c r="BZ735" s="180"/>
      <c r="CA735" s="180"/>
      <c r="CB735" s="180"/>
      <c r="CC735" s="180"/>
      <c r="CD735" s="180"/>
      <c r="CE735" s="180"/>
      <c r="CF735" s="180"/>
      <c r="CG735" s="180"/>
      <c r="CH735" s="180"/>
      <c r="CI735" s="180"/>
      <c r="CJ735" s="180"/>
      <c r="CK735" s="180"/>
      <c r="CL735" s="180"/>
      <c r="CM735" s="180"/>
      <c r="CN735" s="180"/>
      <c r="CO735" s="180"/>
      <c r="CP735" s="180"/>
      <c r="CQ735" s="180"/>
      <c r="CR735" s="180"/>
      <c r="CS735" s="180"/>
      <c r="CT735" s="180"/>
      <c r="CU735" s="180"/>
      <c r="CV735" s="180"/>
      <c r="CW735" s="180"/>
      <c r="CX735" s="180"/>
      <c r="CY735" s="180"/>
      <c r="CZ735" s="180"/>
    </row>
    <row r="736" spans="1:104" x14ac:dyDescent="0.45">
      <c r="A736" s="180" t="s">
        <v>84</v>
      </c>
      <c r="B736" s="73">
        <v>5</v>
      </c>
      <c r="C736" s="73">
        <v>5</v>
      </c>
      <c r="D736" s="180" t="s">
        <v>309</v>
      </c>
      <c r="E736" s="39">
        <v>43588</v>
      </c>
      <c r="F736" s="179">
        <v>0.67708333333333337</v>
      </c>
      <c r="G736" s="180">
        <v>3</v>
      </c>
      <c r="H736" s="180" t="s">
        <v>312</v>
      </c>
      <c r="I736" s="180" t="s">
        <v>487</v>
      </c>
      <c r="J736" s="180"/>
      <c r="K736" s="180"/>
      <c r="L736" s="180"/>
      <c r="M736" s="180"/>
      <c r="N736" s="180"/>
      <c r="O736" s="180"/>
      <c r="P736" s="180"/>
      <c r="AS736" s="180"/>
      <c r="AT736" s="180"/>
      <c r="AU736" s="180"/>
      <c r="AV736" s="180"/>
      <c r="AW736" s="180"/>
      <c r="AX736" s="180"/>
      <c r="AY736" s="180"/>
      <c r="AZ736" s="180"/>
      <c r="BA736" s="180"/>
      <c r="BB736" s="180"/>
      <c r="BC736" s="180"/>
      <c r="BD736" s="180"/>
      <c r="BE736" s="180"/>
      <c r="BF736" s="180"/>
      <c r="BG736" s="180"/>
      <c r="BH736" s="180"/>
      <c r="BI736" s="180"/>
      <c r="BJ736" s="180"/>
      <c r="BK736" s="180"/>
      <c r="BL736" s="180"/>
      <c r="BM736" s="180"/>
      <c r="BN736" s="180"/>
      <c r="BO736" s="180"/>
      <c r="BP736" s="180"/>
      <c r="BQ736" s="180"/>
      <c r="BR736" s="180"/>
      <c r="BS736" s="180"/>
      <c r="BT736" s="180"/>
      <c r="BU736" s="180"/>
      <c r="BV736" s="180"/>
      <c r="BW736" s="180"/>
      <c r="BX736" s="180"/>
      <c r="BY736" s="180"/>
      <c r="BZ736" s="180"/>
      <c r="CA736" s="180"/>
      <c r="CB736" s="180"/>
      <c r="CC736" s="180"/>
      <c r="CD736" s="180"/>
      <c r="CE736" s="180"/>
      <c r="CF736" s="180"/>
      <c r="CG736" s="180"/>
      <c r="CH736" s="180"/>
      <c r="CI736" s="180"/>
      <c r="CJ736" s="180"/>
      <c r="CK736" s="180"/>
      <c r="CL736" s="180"/>
      <c r="CM736" s="180"/>
      <c r="CN736" s="180"/>
      <c r="CO736" s="180"/>
      <c r="CP736" s="180"/>
      <c r="CQ736" s="180"/>
      <c r="CR736" s="180"/>
      <c r="CS736" s="180"/>
      <c r="CT736" s="180"/>
      <c r="CU736" s="180"/>
      <c r="CV736" s="180"/>
      <c r="CW736" s="180"/>
      <c r="CX736" s="180"/>
      <c r="CY736" s="180"/>
      <c r="CZ736" s="180"/>
    </row>
    <row r="737" spans="1:104" x14ac:dyDescent="0.45">
      <c r="A737" s="180" t="s">
        <v>84</v>
      </c>
      <c r="B737" s="73">
        <v>2</v>
      </c>
      <c r="C737" s="73"/>
      <c r="D737" s="180" t="s">
        <v>488</v>
      </c>
      <c r="E737" s="39">
        <v>43590</v>
      </c>
      <c r="F737" s="179">
        <v>0.39305555555555555</v>
      </c>
      <c r="G737" s="180">
        <v>2</v>
      </c>
      <c r="H737" s="180"/>
      <c r="I737" s="180"/>
      <c r="J737" s="180"/>
      <c r="K737" s="180"/>
      <c r="L737" s="180"/>
      <c r="M737" s="180"/>
      <c r="N737" s="180"/>
      <c r="O737" s="180"/>
      <c r="P737" s="180"/>
      <c r="AS737" s="180"/>
      <c r="AT737" s="180"/>
      <c r="AU737" s="180"/>
      <c r="AV737" s="180"/>
      <c r="AW737" s="180"/>
      <c r="AX737" s="180"/>
      <c r="AY737" s="180"/>
      <c r="AZ737" s="180"/>
      <c r="BA737" s="180"/>
      <c r="BB737" s="180"/>
      <c r="BC737" s="180"/>
      <c r="BD737" s="180"/>
      <c r="BE737" s="180"/>
      <c r="BF737" s="180"/>
      <c r="BG737" s="180"/>
      <c r="BH737" s="180"/>
      <c r="BI737" s="180"/>
      <c r="BJ737" s="180"/>
      <c r="BK737" s="180"/>
      <c r="BL737" s="180"/>
      <c r="BM737" s="180"/>
      <c r="BN737" s="180"/>
      <c r="BO737" s="180"/>
      <c r="BP737" s="180"/>
      <c r="BQ737" s="180"/>
      <c r="BR737" s="180"/>
      <c r="BS737" s="180"/>
      <c r="BT737" s="180"/>
      <c r="BU737" s="180"/>
      <c r="BV737" s="180"/>
      <c r="BW737" s="180"/>
      <c r="BX737" s="180"/>
      <c r="BY737" s="180"/>
      <c r="BZ737" s="180"/>
      <c r="CA737" s="180"/>
      <c r="CB737" s="180"/>
      <c r="CC737" s="180"/>
      <c r="CD737" s="180"/>
      <c r="CE737" s="180"/>
      <c r="CF737" s="180"/>
      <c r="CG737" s="180"/>
      <c r="CH737" s="180"/>
      <c r="CI737" s="180"/>
      <c r="CJ737" s="180"/>
      <c r="CK737" s="180"/>
      <c r="CL737" s="180"/>
      <c r="CM737" s="180"/>
      <c r="CN737" s="180"/>
      <c r="CO737" s="180"/>
      <c r="CP737" s="180"/>
      <c r="CQ737" s="180"/>
      <c r="CR737" s="180"/>
      <c r="CS737" s="180"/>
      <c r="CT737" s="180"/>
      <c r="CU737" s="180"/>
      <c r="CV737" s="180"/>
      <c r="CW737" s="180"/>
      <c r="CX737" s="180"/>
      <c r="CY737" s="180"/>
      <c r="CZ737" s="180"/>
    </row>
    <row r="738" spans="1:104" x14ac:dyDescent="0.45">
      <c r="A738" s="180" t="s">
        <v>84</v>
      </c>
      <c r="B738" s="73">
        <v>2</v>
      </c>
      <c r="C738" s="73"/>
      <c r="D738" s="180" t="s">
        <v>488</v>
      </c>
      <c r="E738" s="39">
        <v>43590</v>
      </c>
      <c r="F738" s="179">
        <v>0.39305555555555555</v>
      </c>
      <c r="G738" s="180">
        <v>2</v>
      </c>
      <c r="H738" s="180"/>
      <c r="I738" s="180"/>
      <c r="J738" s="180"/>
      <c r="K738" s="180"/>
      <c r="L738" s="180"/>
      <c r="M738" s="180"/>
      <c r="N738" s="180"/>
      <c r="O738" s="180"/>
      <c r="P738" s="180"/>
    </row>
    <row r="739" spans="1:104" x14ac:dyDescent="0.45">
      <c r="A739" s="180" t="s">
        <v>84</v>
      </c>
      <c r="B739" s="73">
        <v>1</v>
      </c>
      <c r="C739" s="73">
        <v>1</v>
      </c>
      <c r="D739" s="180" t="s">
        <v>296</v>
      </c>
      <c r="E739" s="39">
        <v>43593</v>
      </c>
      <c r="F739" s="179">
        <v>0.78472222222222221</v>
      </c>
      <c r="G739" s="180">
        <v>2</v>
      </c>
      <c r="H739" s="180"/>
      <c r="I739" s="180"/>
      <c r="J739" s="180"/>
      <c r="K739" s="180"/>
      <c r="L739" s="180"/>
      <c r="M739" s="180"/>
      <c r="N739" s="180"/>
      <c r="O739" s="180"/>
      <c r="P739" s="180"/>
    </row>
    <row r="740" spans="1:104" x14ac:dyDescent="0.45">
      <c r="A740" s="180" t="s">
        <v>84</v>
      </c>
      <c r="B740" s="73">
        <v>4</v>
      </c>
      <c r="C740" s="73"/>
      <c r="D740" s="180" t="s">
        <v>489</v>
      </c>
      <c r="E740" s="39">
        <v>43594</v>
      </c>
      <c r="F740" s="179">
        <v>0.60555555555555551</v>
      </c>
      <c r="G740" s="180">
        <v>1</v>
      </c>
      <c r="H740" s="180"/>
      <c r="I740" s="180"/>
      <c r="J740" s="180"/>
      <c r="K740" s="180"/>
      <c r="L740" s="180"/>
      <c r="M740" s="180"/>
      <c r="N740" s="180"/>
      <c r="O740" s="180"/>
      <c r="P740" s="180"/>
    </row>
    <row r="741" spans="1:104" x14ac:dyDescent="0.45">
      <c r="A741" s="180" t="s">
        <v>84</v>
      </c>
      <c r="B741" s="73">
        <v>1</v>
      </c>
      <c r="C741" s="73"/>
      <c r="D741" s="180" t="s">
        <v>378</v>
      </c>
      <c r="E741" s="39">
        <v>43594</v>
      </c>
      <c r="F741" s="179">
        <v>0.54513888888888895</v>
      </c>
      <c r="G741" s="180">
        <v>1</v>
      </c>
      <c r="H741" s="180"/>
      <c r="I741" s="180"/>
      <c r="J741" s="180"/>
      <c r="K741" s="180"/>
      <c r="L741" s="180"/>
      <c r="M741" s="180"/>
      <c r="N741" s="180"/>
      <c r="O741" s="180"/>
      <c r="P741" s="180"/>
    </row>
    <row r="742" spans="1:104" x14ac:dyDescent="0.45">
      <c r="A742" s="180" t="s">
        <v>84</v>
      </c>
      <c r="B742" s="73">
        <v>4</v>
      </c>
      <c r="C742" s="73"/>
      <c r="D742" s="180" t="s">
        <v>296</v>
      </c>
      <c r="E742" s="39">
        <v>43594</v>
      </c>
      <c r="F742" s="179">
        <v>0.72777777777777775</v>
      </c>
      <c r="G742" s="180">
        <v>1</v>
      </c>
      <c r="H742" s="180"/>
      <c r="I742" s="180"/>
      <c r="J742" s="180"/>
      <c r="K742" s="180"/>
      <c r="L742" s="180"/>
      <c r="M742" s="180"/>
      <c r="N742" s="180"/>
      <c r="O742" s="180"/>
      <c r="P742" s="180"/>
    </row>
    <row r="743" spans="1:104" x14ac:dyDescent="0.45">
      <c r="A743" s="180" t="s">
        <v>84</v>
      </c>
      <c r="B743" s="73">
        <v>1</v>
      </c>
      <c r="C743" s="73"/>
      <c r="D743" s="180" t="s">
        <v>296</v>
      </c>
      <c r="E743" s="39">
        <v>43594</v>
      </c>
      <c r="F743" s="179">
        <v>0.71458333333333324</v>
      </c>
      <c r="G743" s="180">
        <v>1</v>
      </c>
      <c r="H743" s="180"/>
      <c r="I743" s="180"/>
      <c r="J743" s="180"/>
      <c r="K743" s="180"/>
      <c r="L743" s="180"/>
      <c r="M743" s="180"/>
      <c r="N743" s="180"/>
      <c r="O743" s="180"/>
      <c r="P743" s="180"/>
    </row>
    <row r="744" spans="1:104" x14ac:dyDescent="0.45">
      <c r="A744" s="180" t="s">
        <v>84</v>
      </c>
      <c r="B744" s="73">
        <v>10</v>
      </c>
      <c r="C744" s="73">
        <v>10</v>
      </c>
      <c r="D744" s="180" t="s">
        <v>296</v>
      </c>
      <c r="E744" s="39">
        <v>43594</v>
      </c>
      <c r="F744" s="179">
        <v>0.71180555555555547</v>
      </c>
      <c r="G744" s="180">
        <v>12</v>
      </c>
      <c r="H744" s="180" t="s">
        <v>440</v>
      </c>
      <c r="I744" s="180"/>
      <c r="J744" s="180"/>
      <c r="K744" s="180"/>
      <c r="L744" s="180"/>
      <c r="M744" s="180"/>
      <c r="N744" s="180"/>
      <c r="O744" s="180"/>
      <c r="P744" s="180"/>
    </row>
    <row r="745" spans="1:104" x14ac:dyDescent="0.45">
      <c r="A745" s="180" t="s">
        <v>84</v>
      </c>
      <c r="B745" s="73">
        <v>1</v>
      </c>
      <c r="C745" s="73"/>
      <c r="D745" s="180" t="s">
        <v>296</v>
      </c>
      <c r="E745" s="39">
        <v>43594</v>
      </c>
      <c r="F745" s="179">
        <v>0.76388888888888884</v>
      </c>
      <c r="G745" s="180">
        <v>1</v>
      </c>
      <c r="H745" s="180"/>
      <c r="I745" s="180"/>
      <c r="J745" s="180"/>
      <c r="K745" s="180"/>
      <c r="L745" s="180"/>
      <c r="M745" s="180"/>
      <c r="N745" s="180"/>
      <c r="O745" s="180"/>
      <c r="P745" s="180"/>
    </row>
    <row r="746" spans="1:104" x14ac:dyDescent="0.45">
      <c r="A746" s="180" t="s">
        <v>84</v>
      </c>
      <c r="B746" s="73">
        <v>1</v>
      </c>
      <c r="C746" s="73"/>
      <c r="D746" s="180" t="s">
        <v>296</v>
      </c>
      <c r="E746" s="39">
        <v>43594</v>
      </c>
      <c r="F746" s="179">
        <v>0.44791666666666669</v>
      </c>
      <c r="G746" s="180">
        <v>3</v>
      </c>
      <c r="H746" s="180"/>
      <c r="I746" s="180"/>
      <c r="J746" s="180"/>
      <c r="K746" s="180"/>
      <c r="L746" s="180"/>
      <c r="M746" s="180"/>
      <c r="N746" s="180"/>
      <c r="O746" s="180"/>
      <c r="P746" s="180"/>
    </row>
    <row r="747" spans="1:104" x14ac:dyDescent="0.45">
      <c r="A747" s="180" t="s">
        <v>84</v>
      </c>
      <c r="B747" s="73">
        <v>1</v>
      </c>
      <c r="C747" s="73"/>
      <c r="D747" s="180" t="s">
        <v>296</v>
      </c>
      <c r="E747" s="39">
        <v>43594</v>
      </c>
      <c r="F747" s="179">
        <v>0.4375</v>
      </c>
      <c r="G747" s="180">
        <v>4</v>
      </c>
      <c r="H747" s="180" t="s">
        <v>441</v>
      </c>
      <c r="I747" s="180"/>
      <c r="J747" s="180"/>
      <c r="K747" s="180"/>
      <c r="L747" s="180"/>
      <c r="M747" s="180"/>
      <c r="N747" s="180"/>
      <c r="O747" s="180"/>
      <c r="P747" s="180"/>
    </row>
    <row r="748" spans="1:104" x14ac:dyDescent="0.45">
      <c r="A748" s="180" t="s">
        <v>84</v>
      </c>
      <c r="B748" s="73">
        <v>1</v>
      </c>
      <c r="C748" s="73"/>
      <c r="D748" s="180" t="s">
        <v>296</v>
      </c>
      <c r="E748" s="39">
        <v>43594</v>
      </c>
      <c r="F748" s="179">
        <v>0.26111111111111113</v>
      </c>
      <c r="G748" s="180">
        <v>1</v>
      </c>
      <c r="H748" s="180"/>
      <c r="I748" s="180"/>
      <c r="J748" s="180"/>
      <c r="K748" s="180"/>
      <c r="L748" s="180"/>
      <c r="M748" s="180"/>
      <c r="N748" s="180"/>
      <c r="O748" s="180"/>
      <c r="P748" s="180"/>
    </row>
    <row r="749" spans="1:104" x14ac:dyDescent="0.45">
      <c r="A749" s="180" t="s">
        <v>84</v>
      </c>
      <c r="B749" s="73">
        <v>1</v>
      </c>
      <c r="C749" s="73"/>
      <c r="D749" s="180" t="s">
        <v>296</v>
      </c>
      <c r="E749" s="39">
        <v>43594</v>
      </c>
      <c r="F749" s="179">
        <v>0.42083333333333334</v>
      </c>
      <c r="G749" s="180">
        <v>2</v>
      </c>
      <c r="H749" s="180"/>
      <c r="I749" s="180"/>
      <c r="J749" s="180"/>
      <c r="K749" s="180"/>
      <c r="L749" s="180"/>
      <c r="M749" s="180"/>
      <c r="N749" s="180"/>
      <c r="O749" s="180"/>
      <c r="P749" s="180"/>
    </row>
    <row r="750" spans="1:104" x14ac:dyDescent="0.45">
      <c r="A750" s="180" t="s">
        <v>84</v>
      </c>
      <c r="B750" s="73">
        <v>1</v>
      </c>
      <c r="C750" s="73"/>
      <c r="D750" s="180" t="s">
        <v>296</v>
      </c>
      <c r="E750" s="39">
        <v>43594</v>
      </c>
      <c r="F750" s="179">
        <v>0.76736111111111116</v>
      </c>
      <c r="G750" s="180">
        <v>1</v>
      </c>
      <c r="H750" s="180"/>
      <c r="I750" s="180"/>
      <c r="J750" s="180"/>
      <c r="K750" s="180"/>
      <c r="L750" s="180"/>
      <c r="M750" s="180"/>
      <c r="N750" s="180"/>
      <c r="O750" s="180"/>
      <c r="P750" s="180"/>
    </row>
    <row r="751" spans="1:104" x14ac:dyDescent="0.45">
      <c r="A751" s="180" t="s">
        <v>84</v>
      </c>
      <c r="B751" s="73">
        <v>1</v>
      </c>
      <c r="C751" s="73"/>
      <c r="D751" s="180" t="s">
        <v>296</v>
      </c>
      <c r="E751" s="39">
        <v>43594</v>
      </c>
      <c r="F751" s="179">
        <v>0.42083333333333334</v>
      </c>
      <c r="G751" s="180">
        <v>2</v>
      </c>
      <c r="H751" s="180"/>
      <c r="I751" s="180"/>
      <c r="J751" s="180"/>
      <c r="K751" s="180"/>
      <c r="L751" s="180"/>
      <c r="M751" s="180"/>
      <c r="N751" s="180"/>
      <c r="O751" s="180"/>
      <c r="P751" s="180"/>
    </row>
    <row r="752" spans="1:104" x14ac:dyDescent="0.45">
      <c r="A752" s="180" t="s">
        <v>84</v>
      </c>
      <c r="B752" s="73">
        <v>1</v>
      </c>
      <c r="C752" s="73"/>
      <c r="D752" s="180" t="s">
        <v>296</v>
      </c>
      <c r="E752" s="39">
        <v>43594</v>
      </c>
      <c r="F752" s="179">
        <v>0.42083333333333334</v>
      </c>
      <c r="G752" s="180">
        <v>2</v>
      </c>
      <c r="H752" s="180"/>
      <c r="I752" s="180"/>
      <c r="J752" s="180"/>
      <c r="K752" s="180"/>
      <c r="L752" s="180"/>
      <c r="M752" s="180"/>
      <c r="N752" s="180"/>
      <c r="O752" s="180"/>
      <c r="P752" s="180"/>
    </row>
    <row r="753" spans="1:16" x14ac:dyDescent="0.45">
      <c r="A753" s="180" t="s">
        <v>84</v>
      </c>
      <c r="B753" s="73">
        <v>3</v>
      </c>
      <c r="C753" s="73">
        <v>3</v>
      </c>
      <c r="D753" s="180" t="s">
        <v>309</v>
      </c>
      <c r="E753" s="39">
        <v>43596</v>
      </c>
      <c r="F753" s="179">
        <v>0.32291666666666669</v>
      </c>
      <c r="G753" s="180">
        <v>1</v>
      </c>
      <c r="H753" s="180" t="s">
        <v>364</v>
      </c>
      <c r="I753" s="180"/>
      <c r="J753" s="180"/>
      <c r="K753" s="180"/>
      <c r="L753" s="180"/>
      <c r="M753" s="180"/>
      <c r="N753" s="180"/>
      <c r="O753" s="180"/>
      <c r="P753" s="180"/>
    </row>
    <row r="754" spans="1:16" x14ac:dyDescent="0.45">
      <c r="A754" s="180" t="s">
        <v>84</v>
      </c>
      <c r="B754" s="73">
        <v>2</v>
      </c>
      <c r="C754" s="73">
        <v>2</v>
      </c>
      <c r="D754" s="180" t="s">
        <v>311</v>
      </c>
      <c r="E754" s="39">
        <v>43598</v>
      </c>
      <c r="F754" s="179">
        <v>0.42708333333333331</v>
      </c>
      <c r="G754" s="180">
        <v>8</v>
      </c>
      <c r="H754" s="180" t="s">
        <v>337</v>
      </c>
      <c r="I754" s="180"/>
      <c r="J754" s="180"/>
      <c r="K754" s="180"/>
      <c r="L754" s="180"/>
      <c r="M754" s="180"/>
      <c r="N754" s="180"/>
      <c r="O754" s="180"/>
      <c r="P754" s="180"/>
    </row>
    <row r="755" spans="1:16" x14ac:dyDescent="0.45">
      <c r="A755" s="1" t="s">
        <v>273</v>
      </c>
      <c r="B755" s="73"/>
      <c r="C755" s="73">
        <f>SUM(C725:C754)</f>
        <v>40</v>
      </c>
      <c r="D755" s="180"/>
      <c r="E755" s="39"/>
      <c r="F755" s="179"/>
      <c r="G755" s="180"/>
      <c r="H755" s="180"/>
      <c r="I755" s="180"/>
      <c r="J755" s="180"/>
      <c r="K755" s="180"/>
      <c r="L755" s="180"/>
      <c r="M755" s="180"/>
      <c r="N755" s="180"/>
      <c r="O755" s="180"/>
      <c r="P755" s="180"/>
    </row>
    <row r="756" spans="1:16" x14ac:dyDescent="0.45">
      <c r="A756" s="180"/>
      <c r="B756" s="73"/>
      <c r="C756" s="73"/>
      <c r="D756" s="180"/>
      <c r="E756" s="39"/>
      <c r="F756" s="179"/>
      <c r="G756" s="180"/>
      <c r="H756" s="180"/>
      <c r="I756" s="180"/>
      <c r="J756" s="180"/>
      <c r="K756" s="180"/>
      <c r="L756" s="180"/>
      <c r="M756" s="180"/>
      <c r="N756" s="180"/>
      <c r="O756" s="180"/>
      <c r="P756" s="180"/>
    </row>
    <row r="757" spans="1:16" x14ac:dyDescent="0.45">
      <c r="A757" s="180" t="s">
        <v>13</v>
      </c>
      <c r="B757" s="73">
        <v>2</v>
      </c>
      <c r="C757" s="73"/>
      <c r="D757" s="180" t="s">
        <v>378</v>
      </c>
      <c r="E757" s="39">
        <v>43595</v>
      </c>
      <c r="F757" s="179">
        <v>0.72916666666666663</v>
      </c>
      <c r="G757" s="180">
        <v>3</v>
      </c>
      <c r="H757" s="180"/>
      <c r="I757" s="180"/>
      <c r="J757" s="180"/>
      <c r="K757" s="180"/>
      <c r="L757" s="180"/>
      <c r="M757" s="180"/>
      <c r="N757" s="180"/>
      <c r="O757" s="180"/>
      <c r="P757" s="180"/>
    </row>
    <row r="758" spans="1:16" x14ac:dyDescent="0.45">
      <c r="A758" s="180" t="s">
        <v>13</v>
      </c>
      <c r="B758" s="73">
        <v>2</v>
      </c>
      <c r="C758" s="73">
        <v>2</v>
      </c>
      <c r="D758" s="180" t="s">
        <v>296</v>
      </c>
      <c r="E758" s="39">
        <v>43595</v>
      </c>
      <c r="F758" s="179">
        <v>0.76874999999999993</v>
      </c>
      <c r="G758" s="180">
        <v>1</v>
      </c>
      <c r="H758" s="180"/>
      <c r="I758" s="180"/>
      <c r="J758" s="180"/>
      <c r="K758" s="180"/>
      <c r="L758" s="180"/>
      <c r="M758" s="180"/>
      <c r="N758" s="180"/>
      <c r="O758" s="180"/>
      <c r="P758" s="180"/>
    </row>
    <row r="759" spans="1:16" x14ac:dyDescent="0.45">
      <c r="A759" s="180" t="s">
        <v>13</v>
      </c>
      <c r="B759" s="73">
        <v>1</v>
      </c>
      <c r="C759" s="73"/>
      <c r="D759" s="180" t="s">
        <v>296</v>
      </c>
      <c r="E759" s="39">
        <v>43595</v>
      </c>
      <c r="F759" s="179">
        <v>0.8041666666666667</v>
      </c>
      <c r="G759" s="180">
        <v>1</v>
      </c>
      <c r="H759" s="180" t="s">
        <v>490</v>
      </c>
      <c r="I759" s="180"/>
      <c r="J759" s="180"/>
      <c r="K759" s="180"/>
      <c r="L759" s="180"/>
      <c r="M759" s="180"/>
      <c r="N759" s="180"/>
      <c r="O759" s="180"/>
      <c r="P759" s="180"/>
    </row>
    <row r="760" spans="1:16" x14ac:dyDescent="0.45">
      <c r="A760" s="180" t="s">
        <v>13</v>
      </c>
      <c r="B760" s="73">
        <v>2</v>
      </c>
      <c r="C760" s="73"/>
      <c r="D760" s="180" t="s">
        <v>296</v>
      </c>
      <c r="E760" s="39">
        <v>43595</v>
      </c>
      <c r="F760" s="179">
        <v>0.6875</v>
      </c>
      <c r="G760" s="180">
        <v>1</v>
      </c>
      <c r="H760" s="180"/>
      <c r="I760" s="180"/>
      <c r="J760" s="180"/>
      <c r="K760" s="180"/>
      <c r="L760" s="180"/>
      <c r="M760" s="180"/>
      <c r="N760" s="180"/>
      <c r="O760" s="180"/>
      <c r="P760" s="180"/>
    </row>
    <row r="761" spans="1:16" x14ac:dyDescent="0.45">
      <c r="A761" s="180" t="s">
        <v>13</v>
      </c>
      <c r="B761" s="73">
        <v>2</v>
      </c>
      <c r="C761" s="73"/>
      <c r="D761" s="180" t="s">
        <v>296</v>
      </c>
      <c r="E761" s="39">
        <v>43595</v>
      </c>
      <c r="F761" s="179">
        <v>0.75</v>
      </c>
      <c r="G761" s="180">
        <v>1</v>
      </c>
      <c r="H761" s="180"/>
      <c r="I761" s="180"/>
      <c r="J761" s="180"/>
      <c r="K761" s="180"/>
      <c r="L761" s="180"/>
      <c r="M761" s="180"/>
      <c r="N761" s="180"/>
      <c r="O761" s="180"/>
      <c r="P761" s="180"/>
    </row>
    <row r="762" spans="1:16" x14ac:dyDescent="0.45">
      <c r="A762" s="180" t="s">
        <v>13</v>
      </c>
      <c r="B762" s="73">
        <v>1</v>
      </c>
      <c r="C762" s="73"/>
      <c r="D762" s="180" t="s">
        <v>296</v>
      </c>
      <c r="E762" s="39">
        <v>43595</v>
      </c>
      <c r="F762" s="179">
        <v>0.6166666666666667</v>
      </c>
      <c r="G762" s="180">
        <v>1</v>
      </c>
      <c r="H762" s="180"/>
      <c r="I762" s="180"/>
      <c r="J762" s="180"/>
      <c r="K762" s="180"/>
      <c r="L762" s="180"/>
      <c r="M762" s="180"/>
      <c r="N762" s="180"/>
      <c r="O762" s="180"/>
      <c r="P762" s="180"/>
    </row>
    <row r="763" spans="1:16" x14ac:dyDescent="0.45">
      <c r="A763" s="180" t="s">
        <v>13</v>
      </c>
      <c r="B763" s="73">
        <v>2</v>
      </c>
      <c r="C763" s="73"/>
      <c r="D763" s="180" t="s">
        <v>296</v>
      </c>
      <c r="E763" s="39">
        <v>43595</v>
      </c>
      <c r="F763" s="179">
        <v>0.6694444444444444</v>
      </c>
      <c r="G763" s="180">
        <v>2</v>
      </c>
      <c r="H763" s="180"/>
      <c r="I763" s="180"/>
      <c r="J763" s="180"/>
      <c r="K763" s="180"/>
      <c r="L763" s="180"/>
      <c r="M763" s="180"/>
      <c r="N763" s="180"/>
      <c r="O763" s="180"/>
      <c r="P763" s="180"/>
    </row>
    <row r="764" spans="1:16" x14ac:dyDescent="0.45">
      <c r="A764" s="180" t="s">
        <v>13</v>
      </c>
      <c r="B764" s="73">
        <v>2</v>
      </c>
      <c r="C764" s="73"/>
      <c r="D764" s="180" t="s">
        <v>296</v>
      </c>
      <c r="E764" s="39">
        <v>43595</v>
      </c>
      <c r="F764" s="179">
        <v>0.7104166666666667</v>
      </c>
      <c r="G764" s="180">
        <v>1</v>
      </c>
      <c r="H764" s="180"/>
      <c r="I764" s="180"/>
      <c r="J764" s="180"/>
      <c r="K764" s="180"/>
      <c r="L764" s="180"/>
      <c r="M764" s="180"/>
      <c r="N764" s="180"/>
      <c r="O764" s="180"/>
      <c r="P764" s="180"/>
    </row>
    <row r="765" spans="1:16" x14ac:dyDescent="0.45">
      <c r="A765" s="180" t="s">
        <v>13</v>
      </c>
      <c r="B765" s="73">
        <v>2</v>
      </c>
      <c r="C765" s="73"/>
      <c r="D765" s="180" t="s">
        <v>296</v>
      </c>
      <c r="E765" s="39">
        <v>43595</v>
      </c>
      <c r="F765" s="179">
        <v>0.67569444444444438</v>
      </c>
      <c r="G765" s="180">
        <v>1</v>
      </c>
      <c r="H765" s="180" t="s">
        <v>480</v>
      </c>
      <c r="I765" s="180"/>
      <c r="J765" s="180"/>
      <c r="K765" s="180"/>
      <c r="L765" s="180"/>
      <c r="M765" s="180"/>
      <c r="N765" s="180"/>
      <c r="O765" s="180"/>
      <c r="P765" s="180"/>
    </row>
    <row r="766" spans="1:16" x14ac:dyDescent="0.45">
      <c r="A766" s="180" t="s">
        <v>13</v>
      </c>
      <c r="B766" s="73">
        <v>6</v>
      </c>
      <c r="C766" s="73">
        <v>6</v>
      </c>
      <c r="D766" s="180" t="s">
        <v>299</v>
      </c>
      <c r="E766" s="39">
        <v>43595</v>
      </c>
      <c r="F766" s="179">
        <v>0.59097222222222223</v>
      </c>
      <c r="G766" s="180">
        <v>12</v>
      </c>
      <c r="H766" s="180" t="s">
        <v>491</v>
      </c>
      <c r="I766" s="180"/>
      <c r="J766" s="180"/>
      <c r="K766" s="180"/>
      <c r="L766" s="180"/>
      <c r="M766" s="180"/>
      <c r="N766" s="180"/>
      <c r="O766" s="180"/>
      <c r="P766" s="180"/>
    </row>
    <row r="767" spans="1:16" x14ac:dyDescent="0.45">
      <c r="A767" s="180" t="s">
        <v>13</v>
      </c>
      <c r="B767" s="73">
        <v>1</v>
      </c>
      <c r="C767" s="73"/>
      <c r="D767" s="180" t="s">
        <v>378</v>
      </c>
      <c r="E767" s="39">
        <v>43596</v>
      </c>
      <c r="F767" s="179">
        <v>0.27499999999999997</v>
      </c>
      <c r="G767" s="180">
        <v>4</v>
      </c>
      <c r="H767" s="180" t="s">
        <v>383</v>
      </c>
      <c r="I767" s="180"/>
      <c r="J767" s="180"/>
      <c r="K767" s="180"/>
      <c r="L767" s="180"/>
      <c r="M767" s="180"/>
      <c r="N767" s="180"/>
      <c r="O767" s="180"/>
      <c r="P767" s="180"/>
    </row>
    <row r="768" spans="1:16" x14ac:dyDescent="0.45">
      <c r="A768" s="180" t="s">
        <v>13</v>
      </c>
      <c r="B768" s="73">
        <v>2</v>
      </c>
      <c r="C768" s="73">
        <v>2</v>
      </c>
      <c r="D768" s="180" t="s">
        <v>296</v>
      </c>
      <c r="E768" s="39">
        <v>43596</v>
      </c>
      <c r="F768" s="179">
        <v>0.65416666666666667</v>
      </c>
      <c r="G768" s="180">
        <v>1</v>
      </c>
      <c r="H768" s="180"/>
      <c r="I768" s="180"/>
      <c r="J768" s="180"/>
      <c r="K768" s="180"/>
      <c r="L768" s="180"/>
      <c r="M768" s="180"/>
      <c r="N768" s="180"/>
      <c r="O768" s="180"/>
      <c r="P768" s="180"/>
    </row>
    <row r="769" spans="1:16" x14ac:dyDescent="0.45">
      <c r="A769" s="180" t="s">
        <v>13</v>
      </c>
      <c r="B769" s="73">
        <v>1</v>
      </c>
      <c r="C769" s="73"/>
      <c r="D769" s="180" t="s">
        <v>296</v>
      </c>
      <c r="E769" s="39">
        <v>43596</v>
      </c>
      <c r="F769" s="179">
        <v>0.68472222222222223</v>
      </c>
      <c r="G769" s="180">
        <v>2</v>
      </c>
      <c r="H769" s="180"/>
      <c r="I769" s="180"/>
      <c r="J769" s="180"/>
      <c r="K769" s="180"/>
      <c r="L769" s="180"/>
      <c r="M769" s="180"/>
      <c r="N769" s="180"/>
      <c r="O769" s="180"/>
      <c r="P769" s="180"/>
    </row>
    <row r="770" spans="1:16" x14ac:dyDescent="0.45">
      <c r="A770" s="180" t="s">
        <v>13</v>
      </c>
      <c r="B770" s="73">
        <v>1</v>
      </c>
      <c r="C770" s="73"/>
      <c r="D770" s="180" t="s">
        <v>296</v>
      </c>
      <c r="E770" s="39">
        <v>43596</v>
      </c>
      <c r="F770" s="179">
        <v>0.30694444444444441</v>
      </c>
      <c r="G770" s="180">
        <v>1</v>
      </c>
      <c r="H770" s="180" t="s">
        <v>481</v>
      </c>
      <c r="I770" s="180"/>
      <c r="J770" s="180"/>
      <c r="K770" s="180"/>
      <c r="L770" s="180"/>
      <c r="M770" s="180"/>
      <c r="N770" s="180"/>
      <c r="O770" s="180"/>
      <c r="P770" s="180"/>
    </row>
    <row r="771" spans="1:16" x14ac:dyDescent="0.45">
      <c r="A771" s="180" t="s">
        <v>13</v>
      </c>
      <c r="B771" s="73">
        <v>1</v>
      </c>
      <c r="C771" s="73"/>
      <c r="D771" s="180" t="s">
        <v>296</v>
      </c>
      <c r="E771" s="39">
        <v>43596</v>
      </c>
      <c r="F771" s="179">
        <v>0.68472222222222223</v>
      </c>
      <c r="G771" s="180">
        <v>2</v>
      </c>
      <c r="H771" s="180"/>
      <c r="I771" s="180"/>
      <c r="J771" s="180"/>
      <c r="K771" s="180"/>
      <c r="L771" s="180"/>
      <c r="M771" s="180"/>
      <c r="N771" s="180"/>
      <c r="O771" s="180"/>
      <c r="P771" s="180"/>
    </row>
    <row r="772" spans="1:16" x14ac:dyDescent="0.45">
      <c r="A772" s="180" t="s">
        <v>13</v>
      </c>
      <c r="B772" s="73">
        <v>1</v>
      </c>
      <c r="C772" s="73">
        <v>1</v>
      </c>
      <c r="D772" s="180" t="s">
        <v>271</v>
      </c>
      <c r="E772" s="39">
        <v>43596</v>
      </c>
      <c r="F772" s="179">
        <v>0.4861111111111111</v>
      </c>
      <c r="G772" s="180">
        <v>1</v>
      </c>
      <c r="H772" s="180" t="s">
        <v>390</v>
      </c>
      <c r="I772" s="180"/>
      <c r="J772" s="180"/>
      <c r="K772" s="180"/>
      <c r="L772" s="180"/>
      <c r="M772" s="180"/>
      <c r="N772" s="180"/>
      <c r="O772" s="180"/>
      <c r="P772" s="180"/>
    </row>
    <row r="773" spans="1:16" x14ac:dyDescent="0.45">
      <c r="A773" s="180" t="s">
        <v>13</v>
      </c>
      <c r="B773" s="73">
        <v>1</v>
      </c>
      <c r="C773" s="73"/>
      <c r="D773" s="180" t="s">
        <v>415</v>
      </c>
      <c r="E773" s="39">
        <v>43596</v>
      </c>
      <c r="F773" s="179">
        <v>0.64374999999999993</v>
      </c>
      <c r="G773" s="180">
        <v>2</v>
      </c>
      <c r="H773" s="180"/>
      <c r="I773" s="180"/>
      <c r="J773" s="180"/>
      <c r="K773" s="180"/>
      <c r="L773" s="180"/>
      <c r="M773" s="180"/>
      <c r="N773" s="180"/>
      <c r="O773" s="180"/>
      <c r="P773" s="180"/>
    </row>
    <row r="774" spans="1:16" x14ac:dyDescent="0.45">
      <c r="A774" s="180" t="s">
        <v>13</v>
      </c>
      <c r="B774" s="73">
        <v>1</v>
      </c>
      <c r="C774" s="73"/>
      <c r="D774" s="180" t="s">
        <v>415</v>
      </c>
      <c r="E774" s="39">
        <v>43596</v>
      </c>
      <c r="F774" s="179">
        <v>0.64374999999999993</v>
      </c>
      <c r="G774" s="180">
        <v>2</v>
      </c>
      <c r="H774" s="180"/>
      <c r="I774" s="180"/>
      <c r="J774" s="180"/>
      <c r="K774" s="180"/>
      <c r="L774" s="180"/>
      <c r="M774" s="180"/>
      <c r="N774" s="180"/>
      <c r="O774" s="180"/>
      <c r="P774" s="180"/>
    </row>
    <row r="775" spans="1:16" x14ac:dyDescent="0.45">
      <c r="A775" s="180" t="s">
        <v>13</v>
      </c>
      <c r="B775" s="73">
        <v>3</v>
      </c>
      <c r="C775" s="73"/>
      <c r="D775" s="180" t="s">
        <v>425</v>
      </c>
      <c r="E775" s="39">
        <v>43597</v>
      </c>
      <c r="F775" s="179">
        <v>0.72569444444444453</v>
      </c>
      <c r="G775" s="180">
        <v>6</v>
      </c>
      <c r="H775" s="180" t="s">
        <v>447</v>
      </c>
      <c r="I775" s="180"/>
      <c r="J775" s="180"/>
      <c r="K775" s="180"/>
      <c r="L775" s="180"/>
      <c r="M775" s="180"/>
      <c r="N775" s="180"/>
      <c r="O775" s="180"/>
      <c r="P775" s="180"/>
    </row>
    <row r="776" spans="1:16" x14ac:dyDescent="0.45">
      <c r="A776" s="180" t="s">
        <v>13</v>
      </c>
      <c r="B776" s="73">
        <v>1</v>
      </c>
      <c r="C776" s="73"/>
      <c r="D776" s="180" t="s">
        <v>296</v>
      </c>
      <c r="E776" s="39">
        <v>43597</v>
      </c>
      <c r="F776" s="179">
        <v>0.31944444444444448</v>
      </c>
      <c r="G776" s="180">
        <v>1</v>
      </c>
      <c r="H776" s="180" t="s">
        <v>448</v>
      </c>
      <c r="I776" s="180"/>
      <c r="J776" s="180"/>
      <c r="K776" s="180"/>
      <c r="L776" s="180"/>
      <c r="M776" s="180"/>
      <c r="N776" s="180"/>
      <c r="O776" s="180"/>
      <c r="P776" s="180"/>
    </row>
    <row r="777" spans="1:16" x14ac:dyDescent="0.45">
      <c r="A777" s="180" t="s">
        <v>13</v>
      </c>
      <c r="B777" s="73">
        <v>1</v>
      </c>
      <c r="C777" s="73"/>
      <c r="D777" s="180" t="s">
        <v>296</v>
      </c>
      <c r="E777" s="39">
        <v>43597</v>
      </c>
      <c r="F777" s="179">
        <v>0.30902777777777779</v>
      </c>
      <c r="G777" s="180">
        <v>10</v>
      </c>
      <c r="H777" s="180" t="s">
        <v>449</v>
      </c>
      <c r="I777" s="180"/>
      <c r="J777" s="180"/>
      <c r="K777" s="180"/>
      <c r="L777" s="180"/>
      <c r="M777" s="180"/>
      <c r="N777" s="180"/>
      <c r="O777" s="180"/>
      <c r="P777" s="180"/>
    </row>
    <row r="778" spans="1:16" x14ac:dyDescent="0.45">
      <c r="A778" s="180" t="s">
        <v>13</v>
      </c>
      <c r="B778" s="73">
        <v>3</v>
      </c>
      <c r="C778" s="73">
        <v>3</v>
      </c>
      <c r="D778" s="180" t="s">
        <v>296</v>
      </c>
      <c r="E778" s="39">
        <v>43597</v>
      </c>
      <c r="F778" s="179">
        <v>0.26597222222222222</v>
      </c>
      <c r="G778" s="180">
        <v>20</v>
      </c>
      <c r="H778" s="180"/>
      <c r="I778" s="180"/>
      <c r="J778" s="180"/>
      <c r="K778" s="180"/>
      <c r="L778" s="180"/>
      <c r="M778" s="180"/>
      <c r="N778" s="180"/>
      <c r="O778" s="180"/>
      <c r="P778" s="180"/>
    </row>
    <row r="779" spans="1:16" x14ac:dyDescent="0.45">
      <c r="A779" s="180" t="s">
        <v>13</v>
      </c>
      <c r="B779" s="73">
        <v>1</v>
      </c>
      <c r="C779" s="73"/>
      <c r="D779" s="180" t="s">
        <v>296</v>
      </c>
      <c r="E779" s="39">
        <v>43597</v>
      </c>
      <c r="F779" s="179">
        <v>0.31805555555555554</v>
      </c>
      <c r="G779" s="180">
        <v>1</v>
      </c>
      <c r="H779" s="180"/>
      <c r="I779" s="180"/>
      <c r="J779" s="180"/>
      <c r="K779" s="180"/>
      <c r="L779" s="180"/>
      <c r="M779" s="180"/>
      <c r="N779" s="180"/>
      <c r="O779" s="180"/>
      <c r="P779" s="180"/>
    </row>
    <row r="780" spans="1:16" x14ac:dyDescent="0.45">
      <c r="A780" s="180" t="s">
        <v>13</v>
      </c>
      <c r="B780" s="73">
        <v>3</v>
      </c>
      <c r="C780" s="73"/>
      <c r="D780" s="180" t="s">
        <v>296</v>
      </c>
      <c r="E780" s="39">
        <v>43597</v>
      </c>
      <c r="F780" s="179">
        <v>0.34375</v>
      </c>
      <c r="G780" s="180">
        <v>4</v>
      </c>
      <c r="H780" s="180"/>
      <c r="I780" s="180"/>
      <c r="J780" s="180"/>
      <c r="K780" s="180"/>
      <c r="L780" s="180"/>
      <c r="M780" s="180"/>
      <c r="N780" s="180"/>
      <c r="O780" s="180"/>
      <c r="P780" s="180"/>
    </row>
    <row r="781" spans="1:16" x14ac:dyDescent="0.45">
      <c r="A781" s="180" t="s">
        <v>13</v>
      </c>
      <c r="B781" s="73">
        <v>2</v>
      </c>
      <c r="C781" s="73"/>
      <c r="D781" s="180" t="s">
        <v>296</v>
      </c>
      <c r="E781" s="39">
        <v>43597</v>
      </c>
      <c r="F781" s="179">
        <v>0.29166666666666669</v>
      </c>
      <c r="G781" s="180">
        <v>1</v>
      </c>
      <c r="H781" s="180" t="s">
        <v>450</v>
      </c>
      <c r="I781" s="180"/>
      <c r="J781" s="180"/>
      <c r="K781" s="180"/>
      <c r="L781" s="180"/>
      <c r="M781" s="180"/>
      <c r="N781" s="180"/>
      <c r="O781" s="180"/>
      <c r="P781" s="180"/>
    </row>
    <row r="782" spans="1:16" x14ac:dyDescent="0.45">
      <c r="A782" s="180" t="s">
        <v>13</v>
      </c>
      <c r="B782" s="73">
        <v>1</v>
      </c>
      <c r="C782" s="73"/>
      <c r="D782" s="180" t="s">
        <v>296</v>
      </c>
      <c r="E782" s="39">
        <v>43597</v>
      </c>
      <c r="F782" s="179">
        <v>0.59166666666666667</v>
      </c>
      <c r="G782" s="180">
        <v>6</v>
      </c>
      <c r="H782" s="180" t="s">
        <v>449</v>
      </c>
      <c r="I782" s="180" t="s">
        <v>492</v>
      </c>
      <c r="J782" s="180"/>
      <c r="K782" s="180"/>
      <c r="L782" s="180"/>
      <c r="M782" s="180"/>
      <c r="N782" s="180"/>
      <c r="O782" s="180"/>
      <c r="P782" s="180"/>
    </row>
    <row r="783" spans="1:16" x14ac:dyDescent="0.45">
      <c r="A783" s="180" t="s">
        <v>13</v>
      </c>
      <c r="B783" s="73">
        <v>3</v>
      </c>
      <c r="C783" s="73"/>
      <c r="D783" s="180" t="s">
        <v>296</v>
      </c>
      <c r="E783" s="39">
        <v>43597</v>
      </c>
      <c r="F783" s="179">
        <v>0.27361111111111108</v>
      </c>
      <c r="G783" s="180">
        <v>6</v>
      </c>
      <c r="H783" s="180" t="s">
        <v>297</v>
      </c>
      <c r="I783" s="180"/>
      <c r="J783" s="180"/>
      <c r="K783" s="180"/>
      <c r="L783" s="180"/>
      <c r="M783" s="180"/>
      <c r="N783" s="180"/>
      <c r="O783" s="180"/>
      <c r="P783" s="180"/>
    </row>
    <row r="784" spans="1:16" x14ac:dyDescent="0.45">
      <c r="A784" s="180" t="s">
        <v>13</v>
      </c>
      <c r="B784" s="73">
        <v>3</v>
      </c>
      <c r="C784" s="73">
        <v>3</v>
      </c>
      <c r="D784" s="180" t="s">
        <v>425</v>
      </c>
      <c r="E784" s="39">
        <v>43598</v>
      </c>
      <c r="F784" s="179">
        <v>0.34375</v>
      </c>
      <c r="G784" s="180">
        <v>6</v>
      </c>
      <c r="H784" s="180" t="s">
        <v>451</v>
      </c>
      <c r="I784" s="180"/>
      <c r="J784" s="180"/>
      <c r="K784" s="180"/>
      <c r="L784" s="180"/>
      <c r="M784" s="180"/>
      <c r="N784" s="180"/>
      <c r="O784" s="180"/>
      <c r="P784" s="180"/>
    </row>
    <row r="785" spans="1:16" x14ac:dyDescent="0.45">
      <c r="A785" s="180" t="s">
        <v>13</v>
      </c>
      <c r="B785" s="73">
        <v>2</v>
      </c>
      <c r="C785" s="73"/>
      <c r="D785" s="180" t="s">
        <v>475</v>
      </c>
      <c r="E785" s="39">
        <v>43599</v>
      </c>
      <c r="F785" s="179">
        <v>0.4597222222222222</v>
      </c>
      <c r="G785" s="180">
        <v>1</v>
      </c>
      <c r="H785" s="180"/>
      <c r="I785" s="180"/>
      <c r="J785" s="180"/>
      <c r="K785" s="180"/>
      <c r="L785" s="180"/>
      <c r="M785" s="180"/>
      <c r="N785" s="180"/>
      <c r="O785" s="180"/>
      <c r="P785" s="180"/>
    </row>
    <row r="786" spans="1:16" x14ac:dyDescent="0.45">
      <c r="A786" s="180" t="s">
        <v>13</v>
      </c>
      <c r="B786" s="73">
        <v>5</v>
      </c>
      <c r="C786" s="73"/>
      <c r="D786" s="180" t="s">
        <v>425</v>
      </c>
      <c r="E786" s="39">
        <v>43599</v>
      </c>
      <c r="F786" s="179">
        <v>0.42638888888888887</v>
      </c>
      <c r="G786" s="180">
        <v>2</v>
      </c>
      <c r="H786" s="180"/>
      <c r="I786" s="180"/>
      <c r="J786" s="180"/>
      <c r="K786" s="180"/>
      <c r="L786" s="180"/>
      <c r="M786" s="180"/>
      <c r="N786" s="180"/>
      <c r="O786" s="180"/>
      <c r="P786" s="180"/>
    </row>
    <row r="787" spans="1:16" x14ac:dyDescent="0.45">
      <c r="A787" s="180" t="s">
        <v>13</v>
      </c>
      <c r="B787" s="73">
        <v>5</v>
      </c>
      <c r="C787" s="73">
        <v>5</v>
      </c>
      <c r="D787" s="180" t="s">
        <v>296</v>
      </c>
      <c r="E787" s="39">
        <v>43599</v>
      </c>
      <c r="F787" s="179">
        <v>0.54166666666666663</v>
      </c>
      <c r="G787" s="180">
        <v>1</v>
      </c>
      <c r="H787" s="180"/>
      <c r="I787" s="180"/>
      <c r="J787" s="180"/>
      <c r="K787" s="180"/>
      <c r="L787" s="180"/>
      <c r="M787" s="180"/>
      <c r="N787" s="180"/>
      <c r="O787" s="180"/>
      <c r="P787" s="180"/>
    </row>
    <row r="788" spans="1:16" x14ac:dyDescent="0.45">
      <c r="A788" s="180" t="s">
        <v>13</v>
      </c>
      <c r="B788" s="73">
        <v>3</v>
      </c>
      <c r="C788" s="73"/>
      <c r="D788" s="180" t="s">
        <v>296</v>
      </c>
      <c r="E788" s="39">
        <v>43599</v>
      </c>
      <c r="F788" s="179">
        <v>0.3743055555555555</v>
      </c>
      <c r="G788" s="180">
        <v>2</v>
      </c>
      <c r="H788" s="180"/>
      <c r="I788" s="180"/>
      <c r="J788" s="180"/>
      <c r="K788" s="180"/>
      <c r="L788" s="180"/>
      <c r="M788" s="180"/>
      <c r="N788" s="180"/>
      <c r="O788" s="180"/>
      <c r="P788" s="180"/>
    </row>
    <row r="789" spans="1:16" x14ac:dyDescent="0.45">
      <c r="A789" s="180" t="s">
        <v>13</v>
      </c>
      <c r="B789" s="73">
        <v>3</v>
      </c>
      <c r="C789" s="73"/>
      <c r="D789" s="180" t="s">
        <v>271</v>
      </c>
      <c r="E789" s="39">
        <v>43600</v>
      </c>
      <c r="F789" s="179">
        <v>0.71250000000000002</v>
      </c>
      <c r="G789" s="180">
        <v>1</v>
      </c>
      <c r="H789" s="180"/>
      <c r="I789" s="180"/>
      <c r="J789" s="180"/>
      <c r="K789" s="180"/>
      <c r="L789" s="180"/>
      <c r="M789" s="180"/>
      <c r="N789" s="180"/>
      <c r="O789" s="180"/>
      <c r="P789" s="180"/>
    </row>
    <row r="790" spans="1:16" x14ac:dyDescent="0.45">
      <c r="A790" s="180" t="s">
        <v>13</v>
      </c>
      <c r="B790" s="73">
        <v>10</v>
      </c>
      <c r="C790" s="73">
        <v>10</v>
      </c>
      <c r="D790" s="180" t="s">
        <v>271</v>
      </c>
      <c r="E790" s="39">
        <v>43601</v>
      </c>
      <c r="F790" s="179">
        <v>0.54027777777777775</v>
      </c>
      <c r="G790" s="180">
        <v>1</v>
      </c>
      <c r="H790" s="180"/>
      <c r="I790" s="180" t="s">
        <v>493</v>
      </c>
      <c r="J790" s="180"/>
      <c r="K790" s="180"/>
      <c r="L790" s="180"/>
      <c r="M790" s="180"/>
      <c r="N790" s="180"/>
      <c r="O790" s="180"/>
      <c r="P790" s="180"/>
    </row>
    <row r="791" spans="1:16" x14ac:dyDescent="0.45">
      <c r="A791" s="180" t="s">
        <v>13</v>
      </c>
      <c r="B791" s="73">
        <v>10</v>
      </c>
      <c r="C791" s="73"/>
      <c r="D791" s="180" t="s">
        <v>271</v>
      </c>
      <c r="E791" s="39">
        <v>43601</v>
      </c>
      <c r="F791" s="179">
        <v>0.53541666666666665</v>
      </c>
      <c r="G791" s="180">
        <v>2</v>
      </c>
      <c r="H791" s="180"/>
      <c r="I791" s="180"/>
      <c r="J791" s="180"/>
      <c r="K791" s="180"/>
      <c r="L791" s="180"/>
      <c r="M791" s="180"/>
      <c r="N791" s="180"/>
      <c r="O791" s="180"/>
      <c r="P791" s="180"/>
    </row>
    <row r="792" spans="1:16" x14ac:dyDescent="0.45">
      <c r="A792" s="180" t="s">
        <v>13</v>
      </c>
      <c r="B792" s="73">
        <v>10</v>
      </c>
      <c r="C792" s="73"/>
      <c r="D792" s="180" t="s">
        <v>271</v>
      </c>
      <c r="E792" s="39">
        <v>43601</v>
      </c>
      <c r="F792" s="179">
        <v>0.53541666666666665</v>
      </c>
      <c r="G792" s="180">
        <v>2</v>
      </c>
      <c r="H792" s="180"/>
      <c r="I792" s="180"/>
      <c r="J792" s="180"/>
      <c r="K792" s="180"/>
      <c r="L792" s="180"/>
      <c r="M792" s="180"/>
      <c r="N792" s="180"/>
      <c r="O792" s="180"/>
      <c r="P792" s="180"/>
    </row>
    <row r="793" spans="1:16" x14ac:dyDescent="0.45">
      <c r="A793" s="180" t="s">
        <v>13</v>
      </c>
      <c r="B793" s="73">
        <v>2</v>
      </c>
      <c r="C793" s="73"/>
      <c r="D793" s="180" t="s">
        <v>271</v>
      </c>
      <c r="E793" s="39">
        <v>43601</v>
      </c>
      <c r="F793" s="179">
        <v>0.5625</v>
      </c>
      <c r="G793" s="180">
        <v>1</v>
      </c>
      <c r="H793" s="180"/>
      <c r="I793" s="180"/>
      <c r="J793" s="180"/>
      <c r="K793" s="180"/>
      <c r="L793" s="180"/>
      <c r="M793" s="180"/>
      <c r="N793" s="180"/>
      <c r="O793" s="180"/>
      <c r="P793" s="180"/>
    </row>
    <row r="794" spans="1:16" x14ac:dyDescent="0.45">
      <c r="A794" s="180" t="s">
        <v>13</v>
      </c>
      <c r="B794" s="73">
        <v>2</v>
      </c>
      <c r="C794" s="73"/>
      <c r="D794" s="180" t="s">
        <v>317</v>
      </c>
      <c r="E794" s="39">
        <v>43603</v>
      </c>
      <c r="F794" s="179">
        <v>0.70694444444444438</v>
      </c>
      <c r="G794" s="180">
        <v>7</v>
      </c>
      <c r="H794" s="180" t="s">
        <v>407</v>
      </c>
      <c r="I794" s="180"/>
      <c r="J794" s="180"/>
      <c r="K794" s="180"/>
      <c r="L794" s="180"/>
      <c r="M794" s="180"/>
      <c r="N794" s="180"/>
      <c r="O794" s="180"/>
      <c r="P794" s="180"/>
    </row>
    <row r="795" spans="1:16" x14ac:dyDescent="0.45">
      <c r="A795" s="180" t="s">
        <v>13</v>
      </c>
      <c r="B795" s="73">
        <v>2</v>
      </c>
      <c r="C795" s="73"/>
      <c r="D795" s="180" t="s">
        <v>317</v>
      </c>
      <c r="E795" s="39">
        <v>43603</v>
      </c>
      <c r="F795" s="179">
        <v>0.70694444444444438</v>
      </c>
      <c r="G795" s="180">
        <v>7</v>
      </c>
      <c r="H795" s="180" t="s">
        <v>407</v>
      </c>
      <c r="I795" s="180"/>
      <c r="J795" s="180"/>
      <c r="K795" s="180"/>
      <c r="L795" s="180"/>
      <c r="M795" s="180"/>
      <c r="N795" s="180"/>
      <c r="O795" s="180"/>
      <c r="P795" s="180"/>
    </row>
    <row r="796" spans="1:16" x14ac:dyDescent="0.45">
      <c r="A796" s="180" t="s">
        <v>13</v>
      </c>
      <c r="B796" s="73">
        <v>2</v>
      </c>
      <c r="C796" s="73"/>
      <c r="D796" s="180" t="s">
        <v>317</v>
      </c>
      <c r="E796" s="39">
        <v>43603</v>
      </c>
      <c r="F796" s="179">
        <v>0.70694444444444438</v>
      </c>
      <c r="G796" s="180">
        <v>7</v>
      </c>
      <c r="H796" s="180" t="s">
        <v>407</v>
      </c>
      <c r="I796" s="180"/>
      <c r="J796" s="180"/>
      <c r="K796" s="180"/>
      <c r="L796" s="180"/>
      <c r="M796" s="180"/>
      <c r="N796" s="180"/>
      <c r="O796" s="180"/>
      <c r="P796" s="180"/>
    </row>
    <row r="797" spans="1:16" x14ac:dyDescent="0.45">
      <c r="A797" s="180" t="s">
        <v>13</v>
      </c>
      <c r="B797" s="73">
        <v>38</v>
      </c>
      <c r="C797" s="73">
        <v>38</v>
      </c>
      <c r="D797" s="180" t="s">
        <v>332</v>
      </c>
      <c r="E797" s="39">
        <v>43603</v>
      </c>
      <c r="F797" s="179">
        <v>0.70833333333333337</v>
      </c>
      <c r="G797" s="180">
        <v>4</v>
      </c>
      <c r="H797" s="180" t="s">
        <v>272</v>
      </c>
      <c r="I797" s="180"/>
      <c r="J797" s="180"/>
      <c r="K797" s="180"/>
      <c r="L797" s="180"/>
      <c r="M797" s="180"/>
      <c r="N797" s="180"/>
      <c r="O797" s="180"/>
      <c r="P797" s="180"/>
    </row>
    <row r="798" spans="1:16" x14ac:dyDescent="0.45">
      <c r="A798" s="180" t="s">
        <v>13</v>
      </c>
      <c r="B798" s="73">
        <v>38</v>
      </c>
      <c r="C798" s="73"/>
      <c r="D798" s="180" t="s">
        <v>332</v>
      </c>
      <c r="E798" s="39">
        <v>43603</v>
      </c>
      <c r="F798" s="179">
        <v>0.70833333333333337</v>
      </c>
      <c r="G798" s="180">
        <v>4</v>
      </c>
      <c r="H798" s="180" t="s">
        <v>272</v>
      </c>
      <c r="I798" s="180"/>
      <c r="J798" s="180"/>
      <c r="K798" s="180"/>
      <c r="L798" s="180"/>
      <c r="M798" s="180"/>
      <c r="N798" s="180"/>
      <c r="O798" s="180"/>
      <c r="P798" s="180"/>
    </row>
    <row r="799" spans="1:16" x14ac:dyDescent="0.45">
      <c r="A799" s="180" t="s">
        <v>13</v>
      </c>
      <c r="B799" s="73">
        <v>2</v>
      </c>
      <c r="C799" s="73">
        <v>2</v>
      </c>
      <c r="D799" s="180" t="s">
        <v>311</v>
      </c>
      <c r="E799" s="39">
        <v>43603</v>
      </c>
      <c r="F799" s="179">
        <v>0.70833333333333337</v>
      </c>
      <c r="G799" s="180">
        <v>11</v>
      </c>
      <c r="H799" s="180" t="s">
        <v>408</v>
      </c>
      <c r="I799" s="180"/>
      <c r="J799" s="180"/>
      <c r="K799" s="180"/>
      <c r="L799" s="180"/>
      <c r="M799" s="180"/>
      <c r="N799" s="180"/>
      <c r="O799" s="180"/>
      <c r="P799" s="180"/>
    </row>
    <row r="800" spans="1:16" x14ac:dyDescent="0.45">
      <c r="A800" s="1" t="s">
        <v>273</v>
      </c>
      <c r="B800" s="73"/>
      <c r="C800" s="73">
        <f>SUM(C757:C799)</f>
        <v>72</v>
      </c>
      <c r="D800" s="180"/>
      <c r="E800" s="39"/>
      <c r="F800" s="179"/>
      <c r="G800" s="180"/>
      <c r="H800" s="180"/>
      <c r="I800" s="180"/>
      <c r="J800" s="180"/>
      <c r="K800" s="180"/>
      <c r="L800" s="180"/>
      <c r="M800" s="180"/>
      <c r="N800" s="180"/>
      <c r="O800" s="180"/>
      <c r="P800" s="180"/>
    </row>
    <row r="801" spans="1:16" x14ac:dyDescent="0.45">
      <c r="A801" s="180"/>
      <c r="B801" s="73"/>
      <c r="C801" s="73"/>
      <c r="D801" s="180"/>
      <c r="E801" s="39"/>
      <c r="F801" s="179"/>
      <c r="G801" s="180"/>
      <c r="H801" s="180"/>
      <c r="I801" s="180"/>
      <c r="J801" s="180"/>
      <c r="K801" s="180"/>
      <c r="L801" s="180"/>
      <c r="M801" s="180"/>
      <c r="N801" s="180"/>
      <c r="O801" s="180"/>
      <c r="P801" s="180"/>
    </row>
    <row r="802" spans="1:16" x14ac:dyDescent="0.45">
      <c r="A802" s="180" t="s">
        <v>494</v>
      </c>
      <c r="B802" s="73">
        <v>12</v>
      </c>
      <c r="C802" s="73">
        <v>12</v>
      </c>
      <c r="D802" s="180" t="s">
        <v>128</v>
      </c>
      <c r="E802" s="39">
        <v>43587</v>
      </c>
      <c r="F802" s="179">
        <v>0.5444444444444444</v>
      </c>
      <c r="G802" s="180">
        <v>1</v>
      </c>
      <c r="H802" s="180" t="s">
        <v>34</v>
      </c>
      <c r="I802" s="180"/>
      <c r="J802" s="180"/>
      <c r="K802" s="180"/>
      <c r="L802" s="180"/>
      <c r="M802" s="180"/>
      <c r="N802" s="180"/>
      <c r="O802" s="180"/>
      <c r="P802" s="180"/>
    </row>
    <row r="803" spans="1:16" x14ac:dyDescent="0.45">
      <c r="A803" s="180" t="s">
        <v>494</v>
      </c>
      <c r="B803" s="73">
        <v>70</v>
      </c>
      <c r="C803" s="73">
        <v>70</v>
      </c>
      <c r="D803" s="180" t="s">
        <v>128</v>
      </c>
      <c r="E803" s="39">
        <v>43588</v>
      </c>
      <c r="F803" s="179">
        <v>0.68125000000000002</v>
      </c>
      <c r="G803" s="180">
        <v>4</v>
      </c>
      <c r="H803" s="180" t="s">
        <v>310</v>
      </c>
      <c r="I803" s="180"/>
      <c r="J803" s="180"/>
      <c r="K803" s="180"/>
      <c r="L803" s="180"/>
      <c r="M803" s="180"/>
      <c r="N803" s="180"/>
      <c r="O803" s="180"/>
      <c r="P803" s="180"/>
    </row>
    <row r="804" spans="1:16" x14ac:dyDescent="0.45">
      <c r="A804" s="180" t="s">
        <v>494</v>
      </c>
      <c r="B804" s="73">
        <v>75</v>
      </c>
      <c r="C804" s="73">
        <v>75</v>
      </c>
      <c r="D804" s="180" t="s">
        <v>128</v>
      </c>
      <c r="E804" s="39">
        <v>43589</v>
      </c>
      <c r="F804" s="179">
        <v>0.62777777777777777</v>
      </c>
      <c r="G804" s="180">
        <v>1</v>
      </c>
      <c r="H804" s="180"/>
      <c r="I804" s="180"/>
      <c r="J804" s="180"/>
      <c r="K804" s="180"/>
      <c r="L804" s="180"/>
      <c r="M804" s="180"/>
      <c r="N804" s="180"/>
      <c r="O804" s="180"/>
      <c r="P804" s="180"/>
    </row>
    <row r="805" spans="1:16" x14ac:dyDescent="0.45">
      <c r="A805" s="180" t="s">
        <v>494</v>
      </c>
      <c r="B805" s="73">
        <v>1</v>
      </c>
      <c r="C805" s="73"/>
      <c r="D805" s="180" t="s">
        <v>372</v>
      </c>
      <c r="E805" s="39">
        <v>43589</v>
      </c>
      <c r="F805" s="179">
        <v>0.71388888888888891</v>
      </c>
      <c r="G805" s="180">
        <v>1</v>
      </c>
      <c r="H805" s="180"/>
      <c r="I805" s="180"/>
      <c r="J805" s="180"/>
      <c r="K805" s="180"/>
      <c r="L805" s="180"/>
      <c r="M805" s="180"/>
      <c r="N805" s="180"/>
      <c r="O805" s="180"/>
      <c r="P805" s="180"/>
    </row>
    <row r="806" spans="1:16" x14ac:dyDescent="0.45">
      <c r="A806" s="180" t="s">
        <v>494</v>
      </c>
      <c r="B806" s="73">
        <v>1</v>
      </c>
      <c r="C806" s="73">
        <v>1</v>
      </c>
      <c r="D806" s="180" t="s">
        <v>349</v>
      </c>
      <c r="E806" s="39">
        <v>43590</v>
      </c>
      <c r="F806" s="179">
        <v>0.3833333333333333</v>
      </c>
      <c r="G806" s="180">
        <v>2</v>
      </c>
      <c r="H806" s="180" t="s">
        <v>430</v>
      </c>
      <c r="I806" s="180"/>
      <c r="J806" s="180"/>
      <c r="K806" s="180"/>
      <c r="L806" s="180"/>
      <c r="M806" s="180"/>
      <c r="N806" s="180"/>
      <c r="O806" s="180"/>
      <c r="P806" s="180"/>
    </row>
    <row r="807" spans="1:16" x14ac:dyDescent="0.45">
      <c r="A807" s="180" t="s">
        <v>494</v>
      </c>
      <c r="B807" s="73">
        <v>4</v>
      </c>
      <c r="C807" s="73">
        <v>4</v>
      </c>
      <c r="D807" s="180" t="s">
        <v>271</v>
      </c>
      <c r="E807" s="39">
        <v>43591</v>
      </c>
      <c r="F807" s="179">
        <v>0.45069444444444445</v>
      </c>
      <c r="G807" s="180">
        <v>2</v>
      </c>
      <c r="H807" s="180"/>
      <c r="I807" s="180"/>
      <c r="J807" s="180"/>
      <c r="K807" s="180"/>
      <c r="L807" s="180"/>
      <c r="M807" s="180"/>
      <c r="N807" s="180"/>
      <c r="O807" s="180"/>
      <c r="P807" s="180"/>
    </row>
    <row r="808" spans="1:16" x14ac:dyDescent="0.45">
      <c r="A808" s="180" t="s">
        <v>494</v>
      </c>
      <c r="B808" s="73">
        <v>30</v>
      </c>
      <c r="C808" s="73"/>
      <c r="D808" s="180" t="s">
        <v>315</v>
      </c>
      <c r="E808" s="39">
        <v>43593</v>
      </c>
      <c r="F808" s="179">
        <v>0.80208333333333337</v>
      </c>
      <c r="G808" s="180">
        <v>3</v>
      </c>
      <c r="H808" s="180" t="s">
        <v>316</v>
      </c>
      <c r="I808" s="180"/>
      <c r="J808" s="180"/>
      <c r="K808" s="180"/>
      <c r="L808" s="180"/>
      <c r="M808" s="180"/>
      <c r="N808" s="180"/>
      <c r="O808" s="180"/>
      <c r="P808" s="180"/>
    </row>
    <row r="809" spans="1:16" x14ac:dyDescent="0.45">
      <c r="A809" s="180" t="s">
        <v>494</v>
      </c>
      <c r="B809" s="73">
        <v>330</v>
      </c>
      <c r="C809" s="73"/>
      <c r="D809" s="180" t="s">
        <v>317</v>
      </c>
      <c r="E809" s="39">
        <v>43593</v>
      </c>
      <c r="F809" s="179">
        <v>0.79722222222222217</v>
      </c>
      <c r="G809" s="180">
        <v>7</v>
      </c>
      <c r="H809" s="180"/>
      <c r="I809" s="180"/>
      <c r="J809" s="180"/>
      <c r="K809" s="180"/>
      <c r="L809" s="180"/>
      <c r="M809" s="180"/>
      <c r="N809" s="180"/>
      <c r="O809" s="180"/>
      <c r="P809" s="180"/>
    </row>
    <row r="810" spans="1:16" x14ac:dyDescent="0.45">
      <c r="A810" s="180" t="s">
        <v>494</v>
      </c>
      <c r="B810" s="73">
        <v>330</v>
      </c>
      <c r="C810" s="73">
        <v>330</v>
      </c>
      <c r="D810" s="180" t="s">
        <v>311</v>
      </c>
      <c r="E810" s="39">
        <v>43593</v>
      </c>
      <c r="F810" s="179">
        <v>0.80208333333333337</v>
      </c>
      <c r="G810" s="180">
        <v>7</v>
      </c>
      <c r="H810" s="180" t="s">
        <v>280</v>
      </c>
      <c r="I810" s="180"/>
      <c r="J810" s="180"/>
      <c r="K810" s="180"/>
      <c r="L810" s="180"/>
      <c r="M810" s="180"/>
      <c r="N810" s="180"/>
      <c r="O810" s="180"/>
      <c r="P810" s="180"/>
    </row>
    <row r="811" spans="1:16" x14ac:dyDescent="0.45">
      <c r="A811" s="180" t="s">
        <v>494</v>
      </c>
      <c r="B811" s="73">
        <v>5</v>
      </c>
      <c r="C811" s="73">
        <v>5</v>
      </c>
      <c r="D811" s="180" t="s">
        <v>309</v>
      </c>
      <c r="E811" s="39">
        <v>43593</v>
      </c>
      <c r="F811" s="179">
        <v>0.71388888888888891</v>
      </c>
      <c r="G811" s="180">
        <v>2</v>
      </c>
      <c r="H811" s="180"/>
      <c r="I811" s="180" t="s">
        <v>377</v>
      </c>
      <c r="J811" s="180"/>
      <c r="K811" s="180"/>
      <c r="L811" s="180"/>
      <c r="M811" s="180"/>
      <c r="N811" s="180"/>
      <c r="O811" s="180"/>
      <c r="P811" s="180"/>
    </row>
    <row r="812" spans="1:16" x14ac:dyDescent="0.45">
      <c r="A812" s="180" t="s">
        <v>494</v>
      </c>
      <c r="B812" s="73">
        <v>30</v>
      </c>
      <c r="C812" s="73">
        <v>30</v>
      </c>
      <c r="D812" s="180" t="s">
        <v>318</v>
      </c>
      <c r="E812" s="39">
        <v>43593</v>
      </c>
      <c r="F812" s="179">
        <v>0.80208333333333337</v>
      </c>
      <c r="G812" s="180">
        <v>3</v>
      </c>
      <c r="H812" s="180" t="s">
        <v>280</v>
      </c>
      <c r="I812" s="180"/>
      <c r="J812" s="180"/>
      <c r="K812" s="180"/>
      <c r="L812" s="180"/>
      <c r="M812" s="180"/>
      <c r="N812" s="180"/>
      <c r="O812" s="180"/>
      <c r="P812" s="180"/>
    </row>
    <row r="813" spans="1:16" x14ac:dyDescent="0.45">
      <c r="A813" s="180" t="s">
        <v>494</v>
      </c>
      <c r="B813" s="73">
        <v>31</v>
      </c>
      <c r="C813" s="73">
        <v>31</v>
      </c>
      <c r="D813" s="180" t="s">
        <v>296</v>
      </c>
      <c r="E813" s="39">
        <v>43593</v>
      </c>
      <c r="F813" s="179">
        <v>0.43472222222222223</v>
      </c>
      <c r="G813" s="180">
        <v>1</v>
      </c>
      <c r="H813" s="180"/>
      <c r="I813" s="180" t="s">
        <v>495</v>
      </c>
      <c r="J813" s="180"/>
      <c r="K813" s="180"/>
      <c r="L813" s="180"/>
      <c r="M813" s="180"/>
      <c r="N813" s="180"/>
      <c r="O813" s="180"/>
      <c r="P813" s="180"/>
    </row>
    <row r="814" spans="1:16" s="180" customFormat="1" x14ac:dyDescent="0.45">
      <c r="A814" s="180" t="s">
        <v>494</v>
      </c>
      <c r="B814" s="73">
        <v>50</v>
      </c>
      <c r="C814" s="73">
        <v>50</v>
      </c>
      <c r="D814" s="180" t="s">
        <v>271</v>
      </c>
      <c r="E814" s="39">
        <v>43593</v>
      </c>
      <c r="F814" s="179"/>
    </row>
    <row r="815" spans="1:16" x14ac:dyDescent="0.45">
      <c r="A815" s="180" t="s">
        <v>494</v>
      </c>
      <c r="B815" s="73">
        <v>12</v>
      </c>
      <c r="C815" s="73">
        <v>12</v>
      </c>
      <c r="D815" s="180" t="s">
        <v>288</v>
      </c>
      <c r="E815" s="39">
        <v>43593</v>
      </c>
      <c r="F815" s="179">
        <v>0.51180555555555551</v>
      </c>
      <c r="G815" s="180">
        <v>1</v>
      </c>
      <c r="H815" s="180"/>
      <c r="I815" s="180"/>
      <c r="J815" s="180"/>
      <c r="K815" s="180"/>
      <c r="L815" s="180"/>
      <c r="M815" s="180"/>
      <c r="N815" s="180"/>
      <c r="O815" s="180"/>
      <c r="P815" s="180"/>
    </row>
    <row r="816" spans="1:16" x14ac:dyDescent="0.45">
      <c r="A816" s="180" t="s">
        <v>494</v>
      </c>
      <c r="B816" s="73">
        <v>1</v>
      </c>
      <c r="C816" s="73">
        <v>1</v>
      </c>
      <c r="D816" s="180" t="s">
        <v>422</v>
      </c>
      <c r="E816" s="39">
        <v>43593</v>
      </c>
      <c r="F816" s="179">
        <v>0.27083333333333331</v>
      </c>
      <c r="G816" s="180">
        <v>1</v>
      </c>
      <c r="H816" s="180" t="s">
        <v>438</v>
      </c>
      <c r="I816" s="180"/>
      <c r="J816" s="180"/>
      <c r="K816" s="180"/>
      <c r="L816" s="180"/>
      <c r="M816" s="180"/>
      <c r="N816" s="180"/>
      <c r="O816" s="180"/>
      <c r="P816" s="180"/>
    </row>
    <row r="817" spans="1:16" x14ac:dyDescent="0.45">
      <c r="A817" s="180" t="s">
        <v>494</v>
      </c>
      <c r="B817" s="73">
        <v>1</v>
      </c>
      <c r="C817" s="73"/>
      <c r="D817" s="180" t="s">
        <v>422</v>
      </c>
      <c r="E817" s="39">
        <v>43593</v>
      </c>
      <c r="F817" s="179">
        <v>0.27083333333333331</v>
      </c>
      <c r="G817" s="180">
        <v>1</v>
      </c>
      <c r="H817" s="180" t="s">
        <v>438</v>
      </c>
      <c r="I817" s="180"/>
      <c r="J817" s="180"/>
      <c r="K817" s="180"/>
      <c r="L817" s="180"/>
      <c r="M817" s="180"/>
      <c r="N817" s="180"/>
      <c r="O817" s="180"/>
      <c r="P817" s="180"/>
    </row>
    <row r="818" spans="1:16" x14ac:dyDescent="0.45">
      <c r="A818" s="180" t="s">
        <v>494</v>
      </c>
      <c r="B818" s="73">
        <v>75</v>
      </c>
      <c r="C818" s="73"/>
      <c r="D818" s="180" t="s">
        <v>374</v>
      </c>
      <c r="E818" s="39">
        <v>43594</v>
      </c>
      <c r="F818" s="179">
        <v>0.81736111111111109</v>
      </c>
      <c r="G818" s="180">
        <v>8</v>
      </c>
      <c r="H818" s="180" t="s">
        <v>375</v>
      </c>
      <c r="I818" s="180"/>
      <c r="J818" s="180"/>
      <c r="K818" s="180"/>
      <c r="L818" s="180"/>
      <c r="M818" s="180"/>
      <c r="N818" s="180"/>
      <c r="O818" s="180"/>
      <c r="P818" s="180"/>
    </row>
    <row r="819" spans="1:16" x14ac:dyDescent="0.45">
      <c r="A819" s="180" t="s">
        <v>494</v>
      </c>
      <c r="B819" s="73">
        <v>30</v>
      </c>
      <c r="C819" s="73">
        <v>30</v>
      </c>
      <c r="D819" s="180" t="s">
        <v>311</v>
      </c>
      <c r="E819" s="39">
        <v>43594</v>
      </c>
      <c r="F819" s="179">
        <v>0.64583333333333337</v>
      </c>
      <c r="G819" s="180">
        <v>1</v>
      </c>
      <c r="H819" s="180"/>
      <c r="I819" s="180"/>
      <c r="J819" s="180"/>
      <c r="K819" s="180"/>
      <c r="L819" s="180"/>
      <c r="M819" s="180"/>
      <c r="N819" s="180"/>
      <c r="O819" s="180"/>
      <c r="P819" s="180"/>
    </row>
    <row r="820" spans="1:16" x14ac:dyDescent="0.45">
      <c r="A820" s="180" t="s">
        <v>494</v>
      </c>
      <c r="B820" s="73">
        <v>15</v>
      </c>
      <c r="C820" s="73"/>
      <c r="D820" s="180" t="s">
        <v>309</v>
      </c>
      <c r="E820" s="39">
        <v>43594</v>
      </c>
      <c r="F820" s="179">
        <v>0.80208333333333337</v>
      </c>
      <c r="G820" s="180">
        <v>1</v>
      </c>
      <c r="H820" s="180"/>
      <c r="I820" s="180"/>
      <c r="J820" s="180"/>
      <c r="K820" s="180"/>
      <c r="L820" s="180"/>
      <c r="M820" s="180"/>
      <c r="N820" s="180"/>
      <c r="O820" s="180"/>
      <c r="P820" s="180"/>
    </row>
    <row r="821" spans="1:16" x14ac:dyDescent="0.45">
      <c r="A821" s="180" t="s">
        <v>494</v>
      </c>
      <c r="B821" s="73">
        <v>30</v>
      </c>
      <c r="C821" s="73">
        <v>30</v>
      </c>
      <c r="D821" s="180" t="s">
        <v>309</v>
      </c>
      <c r="E821" s="39">
        <v>43594</v>
      </c>
      <c r="F821" s="179">
        <v>0.69097222222222221</v>
      </c>
      <c r="G821" s="180">
        <v>1</v>
      </c>
      <c r="H821" s="180"/>
      <c r="I821" s="180"/>
      <c r="J821" s="180"/>
      <c r="K821" s="180"/>
      <c r="L821" s="180"/>
      <c r="M821" s="180"/>
      <c r="N821" s="180"/>
      <c r="O821" s="180"/>
      <c r="P821" s="180"/>
    </row>
    <row r="822" spans="1:16" x14ac:dyDescent="0.45">
      <c r="A822" s="180" t="s">
        <v>494</v>
      </c>
      <c r="B822" s="73">
        <v>22</v>
      </c>
      <c r="C822" s="73">
        <v>22</v>
      </c>
      <c r="D822" s="180" t="s">
        <v>296</v>
      </c>
      <c r="E822" s="39">
        <v>43594</v>
      </c>
      <c r="F822" s="179">
        <v>0.76736111111111116</v>
      </c>
      <c r="G822" s="180">
        <v>1</v>
      </c>
      <c r="H822" s="180"/>
      <c r="I822" s="180"/>
      <c r="J822" s="180"/>
      <c r="K822" s="180"/>
      <c r="L822" s="180"/>
      <c r="M822" s="180"/>
      <c r="N822" s="180"/>
      <c r="O822" s="180"/>
      <c r="P822" s="180"/>
    </row>
    <row r="823" spans="1:16" x14ac:dyDescent="0.45">
      <c r="A823" s="180" t="s">
        <v>494</v>
      </c>
      <c r="B823" s="73">
        <v>20</v>
      </c>
      <c r="C823" s="73"/>
      <c r="D823" s="180" t="s">
        <v>296</v>
      </c>
      <c r="E823" s="39">
        <v>43594</v>
      </c>
      <c r="F823" s="179">
        <v>0.76388888888888884</v>
      </c>
      <c r="G823" s="180">
        <v>1</v>
      </c>
      <c r="H823" s="180"/>
      <c r="I823" s="180"/>
      <c r="J823" s="180"/>
      <c r="K823" s="180"/>
      <c r="L823" s="180"/>
      <c r="M823" s="180"/>
      <c r="N823" s="180"/>
      <c r="O823" s="180"/>
      <c r="P823" s="180"/>
    </row>
    <row r="824" spans="1:16" x14ac:dyDescent="0.45">
      <c r="A824" s="180" t="s">
        <v>494</v>
      </c>
      <c r="B824" s="73">
        <v>40</v>
      </c>
      <c r="C824" s="73">
        <v>40</v>
      </c>
      <c r="D824" s="180" t="s">
        <v>332</v>
      </c>
      <c r="E824" s="39">
        <v>43595</v>
      </c>
      <c r="F824" s="179">
        <v>0.83958333333333324</v>
      </c>
      <c r="G824" s="180">
        <v>1</v>
      </c>
      <c r="H824" s="180"/>
      <c r="I824" s="180"/>
      <c r="J824" s="180"/>
      <c r="K824" s="180"/>
      <c r="L824" s="180"/>
      <c r="M824" s="180"/>
      <c r="N824" s="180"/>
      <c r="O824" s="180"/>
      <c r="P824" s="180"/>
    </row>
    <row r="825" spans="1:16" x14ac:dyDescent="0.45">
      <c r="A825" s="180" t="s">
        <v>494</v>
      </c>
      <c r="B825" s="73">
        <v>100</v>
      </c>
      <c r="C825" s="73">
        <v>100</v>
      </c>
      <c r="D825" s="180" t="s">
        <v>309</v>
      </c>
      <c r="E825" s="39">
        <v>43595</v>
      </c>
      <c r="F825" s="179">
        <v>0.80138888888888893</v>
      </c>
      <c r="G825" s="180">
        <v>1</v>
      </c>
      <c r="H825" s="180"/>
      <c r="I825" s="180"/>
      <c r="J825" s="180"/>
      <c r="K825" s="180"/>
      <c r="L825" s="180"/>
      <c r="M825" s="180"/>
      <c r="N825" s="180"/>
      <c r="O825" s="180"/>
      <c r="P825" s="180"/>
    </row>
    <row r="826" spans="1:16" x14ac:dyDescent="0.45">
      <c r="A826" s="180" t="s">
        <v>494</v>
      </c>
      <c r="B826" s="73">
        <v>10</v>
      </c>
      <c r="C826" s="73"/>
      <c r="D826" s="180" t="s">
        <v>376</v>
      </c>
      <c r="E826" s="39">
        <v>43595</v>
      </c>
      <c r="F826" s="179">
        <v>0.74305555555555547</v>
      </c>
      <c r="G826" s="180">
        <v>1</v>
      </c>
      <c r="H826" s="180"/>
      <c r="I826" s="180"/>
      <c r="J826" s="180"/>
      <c r="K826" s="180"/>
      <c r="L826" s="180"/>
      <c r="M826" s="180"/>
      <c r="N826" s="180"/>
      <c r="O826" s="180"/>
      <c r="P826" s="180"/>
    </row>
    <row r="827" spans="1:16" x14ac:dyDescent="0.45">
      <c r="A827" s="180" t="s">
        <v>494</v>
      </c>
      <c r="B827" s="73">
        <v>15</v>
      </c>
      <c r="C827" s="73"/>
      <c r="D827" s="180" t="s">
        <v>296</v>
      </c>
      <c r="E827" s="39">
        <v>43595</v>
      </c>
      <c r="F827" s="179">
        <v>0.75</v>
      </c>
      <c r="G827" s="180">
        <v>1</v>
      </c>
      <c r="H827" s="180"/>
      <c r="I827" s="180"/>
      <c r="J827" s="180"/>
      <c r="K827" s="180"/>
      <c r="L827" s="180"/>
      <c r="M827" s="180"/>
      <c r="N827" s="180"/>
      <c r="O827" s="180"/>
      <c r="P827" s="180"/>
    </row>
    <row r="828" spans="1:16" x14ac:dyDescent="0.45">
      <c r="A828" s="180" t="s">
        <v>494</v>
      </c>
      <c r="B828" s="73">
        <v>40</v>
      </c>
      <c r="C828" s="73">
        <v>40</v>
      </c>
      <c r="D828" s="180" t="s">
        <v>296</v>
      </c>
      <c r="E828" s="39">
        <v>43595</v>
      </c>
      <c r="F828" s="180"/>
      <c r="G828" s="180"/>
      <c r="H828" s="180"/>
      <c r="I828" s="180"/>
      <c r="J828" s="180"/>
      <c r="K828" s="180"/>
      <c r="L828" s="180"/>
      <c r="M828" s="180"/>
      <c r="N828" s="180"/>
      <c r="O828" s="180"/>
      <c r="P828" s="180"/>
    </row>
    <row r="829" spans="1:16" x14ac:dyDescent="0.45">
      <c r="A829" s="180" t="s">
        <v>494</v>
      </c>
      <c r="B829" s="73">
        <v>10</v>
      </c>
      <c r="C829" s="73"/>
      <c r="D829" s="180" t="s">
        <v>296</v>
      </c>
      <c r="E829" s="39">
        <v>43595</v>
      </c>
      <c r="F829" s="179">
        <v>0.76874999999999993</v>
      </c>
      <c r="G829" s="180">
        <v>1</v>
      </c>
      <c r="H829" s="180"/>
      <c r="I829" s="180"/>
      <c r="J829" s="180"/>
      <c r="K829" s="180"/>
      <c r="L829" s="180"/>
      <c r="M829" s="180"/>
      <c r="N829" s="180"/>
      <c r="O829" s="180"/>
      <c r="P829" s="180"/>
    </row>
    <row r="830" spans="1:16" x14ac:dyDescent="0.45">
      <c r="A830" s="180" t="s">
        <v>494</v>
      </c>
      <c r="B830" s="73">
        <v>16</v>
      </c>
      <c r="C830" s="73"/>
      <c r="D830" s="180" t="s">
        <v>296</v>
      </c>
      <c r="E830" s="39">
        <v>43595</v>
      </c>
      <c r="F830" s="179">
        <v>0.7715277777777777</v>
      </c>
      <c r="G830" s="180">
        <v>6</v>
      </c>
      <c r="H830" s="180"/>
      <c r="I830" s="180"/>
      <c r="J830" s="180"/>
      <c r="K830" s="180"/>
      <c r="L830" s="180"/>
      <c r="M830" s="180"/>
      <c r="N830" s="180"/>
      <c r="O830" s="180"/>
      <c r="P830" s="180"/>
    </row>
    <row r="831" spans="1:16" x14ac:dyDescent="0.45">
      <c r="A831" s="180" t="s">
        <v>494</v>
      </c>
      <c r="B831" s="73">
        <v>9</v>
      </c>
      <c r="C831" s="73">
        <v>9</v>
      </c>
      <c r="D831" s="180" t="s">
        <v>429</v>
      </c>
      <c r="E831" s="39">
        <v>43595</v>
      </c>
      <c r="F831" s="179">
        <v>0.30833333333333335</v>
      </c>
      <c r="G831" s="180">
        <v>10</v>
      </c>
      <c r="H831" s="180" t="s">
        <v>496</v>
      </c>
      <c r="I831" s="180"/>
      <c r="J831" s="180"/>
      <c r="K831" s="180"/>
      <c r="L831" s="180"/>
      <c r="M831" s="180"/>
      <c r="N831" s="180"/>
      <c r="O831" s="180"/>
      <c r="P831" s="180"/>
    </row>
    <row r="832" spans="1:16" x14ac:dyDescent="0.45">
      <c r="A832" s="180" t="s">
        <v>494</v>
      </c>
      <c r="B832" s="73">
        <v>3</v>
      </c>
      <c r="C832" s="73">
        <v>3</v>
      </c>
      <c r="D832" s="180" t="s">
        <v>338</v>
      </c>
      <c r="E832" s="39">
        <v>43596</v>
      </c>
      <c r="F832" s="179">
        <v>0.51874999999999993</v>
      </c>
      <c r="G832" s="180">
        <v>1</v>
      </c>
      <c r="H832" s="180"/>
      <c r="I832" s="180"/>
      <c r="J832" s="180"/>
      <c r="K832" s="180"/>
      <c r="L832" s="180"/>
      <c r="M832" s="180"/>
      <c r="N832" s="180"/>
      <c r="O832" s="180"/>
      <c r="P832" s="180"/>
    </row>
    <row r="833" spans="1:16" x14ac:dyDescent="0.45">
      <c r="A833" s="180" t="s">
        <v>494</v>
      </c>
      <c r="B833" s="73">
        <v>3</v>
      </c>
      <c r="C833" s="73">
        <v>3</v>
      </c>
      <c r="D833" s="180" t="s">
        <v>332</v>
      </c>
      <c r="E833" s="39">
        <v>43596</v>
      </c>
      <c r="F833" s="179">
        <v>0.83472222222222225</v>
      </c>
      <c r="G833" s="180">
        <v>1</v>
      </c>
      <c r="H833" s="180"/>
      <c r="I833" s="180"/>
      <c r="J833" s="180"/>
      <c r="K833" s="180"/>
      <c r="L833" s="180"/>
      <c r="M833" s="180"/>
      <c r="N833" s="180"/>
      <c r="O833" s="180"/>
      <c r="P833" s="180"/>
    </row>
    <row r="834" spans="1:16" x14ac:dyDescent="0.45">
      <c r="A834" s="180" t="s">
        <v>494</v>
      </c>
      <c r="B834" s="73">
        <v>2000</v>
      </c>
      <c r="C834" s="73">
        <v>2000</v>
      </c>
      <c r="D834" s="180" t="s">
        <v>309</v>
      </c>
      <c r="E834" s="39">
        <v>43596</v>
      </c>
      <c r="F834" s="179">
        <v>0.375</v>
      </c>
      <c r="G834" s="180">
        <v>2</v>
      </c>
      <c r="H834" s="180"/>
      <c r="I834" s="180"/>
      <c r="J834" s="180"/>
      <c r="K834" s="180"/>
      <c r="L834" s="180"/>
      <c r="M834" s="180"/>
      <c r="N834" s="180"/>
      <c r="O834" s="180"/>
      <c r="P834" s="180"/>
    </row>
    <row r="835" spans="1:16" x14ac:dyDescent="0.45">
      <c r="A835" s="180" t="s">
        <v>494</v>
      </c>
      <c r="B835" s="73">
        <v>100</v>
      </c>
      <c r="C835" s="73"/>
      <c r="D835" s="180" t="s">
        <v>309</v>
      </c>
      <c r="E835" s="39">
        <v>43596</v>
      </c>
      <c r="F835" s="179">
        <v>0.28472222222222221</v>
      </c>
      <c r="G835" s="180">
        <v>1</v>
      </c>
      <c r="H835" s="180"/>
      <c r="I835" s="180"/>
      <c r="J835" s="180"/>
      <c r="K835" s="180"/>
      <c r="L835" s="180"/>
      <c r="M835" s="180"/>
      <c r="N835" s="180"/>
      <c r="O835" s="180"/>
      <c r="P835" s="180"/>
    </row>
    <row r="836" spans="1:16" x14ac:dyDescent="0.45">
      <c r="A836" s="180" t="s">
        <v>494</v>
      </c>
      <c r="B836" s="73">
        <v>4</v>
      </c>
      <c r="C836" s="73"/>
      <c r="D836" s="180" t="s">
        <v>296</v>
      </c>
      <c r="E836" s="39">
        <v>43596</v>
      </c>
      <c r="F836" s="179">
        <v>0.30694444444444441</v>
      </c>
      <c r="G836" s="180">
        <v>1</v>
      </c>
      <c r="H836" s="180" t="s">
        <v>481</v>
      </c>
      <c r="I836" s="180"/>
      <c r="J836" s="180"/>
      <c r="K836" s="180"/>
      <c r="L836" s="180"/>
      <c r="M836" s="180"/>
      <c r="N836" s="180"/>
      <c r="O836" s="180"/>
      <c r="P836" s="180"/>
    </row>
    <row r="837" spans="1:16" x14ac:dyDescent="0.45">
      <c r="A837" s="180" t="s">
        <v>494</v>
      </c>
      <c r="B837" s="73">
        <v>108</v>
      </c>
      <c r="C837" s="73"/>
      <c r="D837" s="180" t="s">
        <v>296</v>
      </c>
      <c r="E837" s="39">
        <v>43596</v>
      </c>
      <c r="F837" s="179">
        <v>0.27083333333333331</v>
      </c>
      <c r="G837" s="180">
        <v>1</v>
      </c>
      <c r="H837" s="180"/>
      <c r="I837" s="180"/>
      <c r="J837" s="180"/>
      <c r="K837" s="180"/>
      <c r="L837" s="180"/>
      <c r="M837" s="180"/>
      <c r="N837" s="180"/>
      <c r="O837" s="180"/>
      <c r="P837" s="180"/>
    </row>
    <row r="838" spans="1:16" x14ac:dyDescent="0.45">
      <c r="A838" s="180" t="s">
        <v>494</v>
      </c>
      <c r="B838" s="73">
        <v>300</v>
      </c>
      <c r="C838" s="73"/>
      <c r="D838" s="180" t="s">
        <v>271</v>
      </c>
      <c r="E838" s="39">
        <v>43596</v>
      </c>
      <c r="F838" s="179">
        <v>0.42638888888888887</v>
      </c>
      <c r="G838" s="180">
        <v>1</v>
      </c>
      <c r="H838" s="180"/>
      <c r="I838" s="180"/>
      <c r="J838" s="180"/>
      <c r="K838" s="180"/>
      <c r="L838" s="180"/>
      <c r="M838" s="180"/>
      <c r="N838" s="180"/>
      <c r="O838" s="180"/>
      <c r="P838" s="180"/>
    </row>
    <row r="839" spans="1:16" x14ac:dyDescent="0.45">
      <c r="A839" s="180" t="s">
        <v>494</v>
      </c>
      <c r="B839" s="73">
        <v>500</v>
      </c>
      <c r="C839" s="73">
        <v>500</v>
      </c>
      <c r="D839" s="180" t="s">
        <v>415</v>
      </c>
      <c r="E839" s="39">
        <v>43596</v>
      </c>
      <c r="F839" s="179">
        <v>0.49652777777777773</v>
      </c>
      <c r="G839" s="180">
        <v>1</v>
      </c>
      <c r="H839" s="180"/>
      <c r="I839" s="180"/>
      <c r="J839" s="180"/>
      <c r="K839" s="180"/>
      <c r="L839" s="180"/>
      <c r="M839" s="180"/>
      <c r="N839" s="180"/>
      <c r="O839" s="180"/>
      <c r="P839" s="180"/>
    </row>
    <row r="840" spans="1:16" x14ac:dyDescent="0.45">
      <c r="A840" s="180" t="s">
        <v>494</v>
      </c>
      <c r="B840" s="73">
        <v>100</v>
      </c>
      <c r="C840" s="73"/>
      <c r="D840" s="180" t="s">
        <v>395</v>
      </c>
      <c r="E840" s="39">
        <v>43597</v>
      </c>
      <c r="F840" s="179">
        <v>0.3125</v>
      </c>
      <c r="G840" s="180">
        <v>1</v>
      </c>
      <c r="H840" s="180" t="s">
        <v>396</v>
      </c>
      <c r="I840" s="180"/>
      <c r="J840" s="180"/>
      <c r="K840" s="180"/>
      <c r="L840" s="180"/>
      <c r="M840" s="180"/>
      <c r="N840" s="180"/>
      <c r="O840" s="180"/>
      <c r="P840" s="180"/>
    </row>
    <row r="841" spans="1:16" x14ac:dyDescent="0.45">
      <c r="A841" s="180" t="s">
        <v>494</v>
      </c>
      <c r="B841" s="73">
        <v>50</v>
      </c>
      <c r="C841" s="73"/>
      <c r="D841" s="180" t="s">
        <v>296</v>
      </c>
      <c r="E841" s="39">
        <v>43597</v>
      </c>
      <c r="F841" s="179">
        <v>0.27361111111111108</v>
      </c>
      <c r="G841" s="180">
        <v>6</v>
      </c>
      <c r="H841" s="180" t="s">
        <v>297</v>
      </c>
      <c r="I841" s="180"/>
      <c r="J841" s="180"/>
      <c r="K841" s="180"/>
      <c r="L841" s="180"/>
      <c r="M841" s="180"/>
      <c r="N841" s="180"/>
      <c r="O841" s="180"/>
      <c r="P841" s="180"/>
    </row>
    <row r="842" spans="1:16" x14ac:dyDescent="0.45">
      <c r="A842" s="180" t="s">
        <v>494</v>
      </c>
      <c r="B842" s="73">
        <v>67</v>
      </c>
      <c r="C842" s="73">
        <v>67</v>
      </c>
      <c r="D842" s="180" t="s">
        <v>296</v>
      </c>
      <c r="E842" s="39">
        <v>43597</v>
      </c>
      <c r="F842" s="179">
        <v>0.26597222222222222</v>
      </c>
      <c r="G842" s="180">
        <v>20</v>
      </c>
      <c r="H842" s="180"/>
      <c r="I842" s="180"/>
      <c r="J842" s="180"/>
      <c r="K842" s="180"/>
      <c r="L842" s="180"/>
      <c r="M842" s="180"/>
      <c r="N842" s="180"/>
      <c r="O842" s="180"/>
      <c r="P842" s="180"/>
    </row>
    <row r="843" spans="1:16" x14ac:dyDescent="0.45">
      <c r="A843" s="180" t="s">
        <v>494</v>
      </c>
      <c r="B843" s="73">
        <v>34</v>
      </c>
      <c r="C843" s="73"/>
      <c r="D843" s="180" t="s">
        <v>317</v>
      </c>
      <c r="E843" s="39">
        <v>43598</v>
      </c>
      <c r="F843" s="179">
        <v>0.42569444444444443</v>
      </c>
      <c r="G843" s="180">
        <v>4</v>
      </c>
      <c r="H843" s="180" t="s">
        <v>336</v>
      </c>
      <c r="I843" s="180"/>
      <c r="J843" s="180"/>
      <c r="K843" s="180"/>
      <c r="L843" s="180"/>
      <c r="M843" s="180"/>
      <c r="N843" s="180"/>
      <c r="O843" s="180"/>
      <c r="P843" s="180"/>
    </row>
    <row r="844" spans="1:16" x14ac:dyDescent="0.45">
      <c r="A844" s="180" t="s">
        <v>494</v>
      </c>
      <c r="B844" s="73">
        <v>334</v>
      </c>
      <c r="C844" s="73">
        <v>334</v>
      </c>
      <c r="D844" s="180" t="s">
        <v>311</v>
      </c>
      <c r="E844" s="39">
        <v>43598</v>
      </c>
      <c r="F844" s="179">
        <v>0.42708333333333331</v>
      </c>
      <c r="G844" s="180">
        <v>8</v>
      </c>
      <c r="H844" s="180" t="s">
        <v>337</v>
      </c>
      <c r="I844" s="180"/>
      <c r="J844" s="180"/>
      <c r="K844" s="180"/>
      <c r="L844" s="180"/>
      <c r="M844" s="180"/>
      <c r="N844" s="180"/>
      <c r="O844" s="180"/>
      <c r="P844" s="180"/>
    </row>
    <row r="845" spans="1:16" x14ac:dyDescent="0.45">
      <c r="A845" s="180" t="s">
        <v>494</v>
      </c>
      <c r="B845" s="73">
        <v>16</v>
      </c>
      <c r="C845" s="73">
        <v>16</v>
      </c>
      <c r="D845" s="180" t="s">
        <v>271</v>
      </c>
      <c r="E845" s="39">
        <v>43599</v>
      </c>
      <c r="F845" s="179">
        <v>0.50347222222222221</v>
      </c>
      <c r="G845" s="180">
        <v>1</v>
      </c>
      <c r="H845" s="180"/>
      <c r="I845" s="180"/>
      <c r="J845" s="180"/>
      <c r="K845" s="180"/>
      <c r="L845" s="180"/>
      <c r="M845" s="180"/>
      <c r="N845" s="180"/>
      <c r="O845" s="180"/>
      <c r="P845" s="180"/>
    </row>
    <row r="846" spans="1:16" x14ac:dyDescent="0.45">
      <c r="A846" s="180" t="s">
        <v>494</v>
      </c>
      <c r="B846" s="73">
        <v>15</v>
      </c>
      <c r="C846" s="73">
        <v>15</v>
      </c>
      <c r="D846" s="180" t="s">
        <v>271</v>
      </c>
      <c r="E846" s="39">
        <v>43600</v>
      </c>
      <c r="F846" s="179">
        <v>0.71250000000000002</v>
      </c>
      <c r="G846" s="180">
        <v>1</v>
      </c>
      <c r="H846" s="180"/>
      <c r="I846" s="180"/>
      <c r="J846" s="180"/>
      <c r="K846" s="180"/>
      <c r="L846" s="180"/>
      <c r="M846" s="180"/>
      <c r="N846" s="180"/>
      <c r="O846" s="180"/>
      <c r="P846" s="180"/>
    </row>
    <row r="847" spans="1:16" x14ac:dyDescent="0.45">
      <c r="A847" s="180" t="s">
        <v>494</v>
      </c>
      <c r="B847" s="73">
        <v>6</v>
      </c>
      <c r="C847" s="73">
        <v>6</v>
      </c>
      <c r="D847" s="180" t="s">
        <v>271</v>
      </c>
      <c r="E847" s="39">
        <v>43601</v>
      </c>
      <c r="F847" s="179">
        <v>0.4993055555555555</v>
      </c>
      <c r="G847" s="180">
        <v>1</v>
      </c>
      <c r="H847" s="180"/>
      <c r="I847" s="180"/>
      <c r="J847" s="180"/>
      <c r="K847" s="180"/>
      <c r="L847" s="180"/>
      <c r="M847" s="180"/>
      <c r="N847" s="180"/>
      <c r="O847" s="180"/>
      <c r="P847" s="180"/>
    </row>
    <row r="848" spans="1:16" x14ac:dyDescent="0.45">
      <c r="A848" s="180" t="s">
        <v>494</v>
      </c>
      <c r="B848" s="73">
        <v>30</v>
      </c>
      <c r="C848" s="73"/>
      <c r="D848" s="180" t="s">
        <v>317</v>
      </c>
      <c r="E848" s="39">
        <v>43603</v>
      </c>
      <c r="F848" s="179">
        <v>0.70694444444444438</v>
      </c>
      <c r="G848" s="180">
        <v>7</v>
      </c>
      <c r="H848" s="180" t="s">
        <v>407</v>
      </c>
      <c r="I848" s="180"/>
      <c r="J848" s="180"/>
      <c r="K848" s="180"/>
      <c r="L848" s="180"/>
      <c r="M848" s="180"/>
      <c r="N848" s="180"/>
      <c r="O848" s="180"/>
      <c r="P848" s="180"/>
    </row>
    <row r="849" spans="1:16" x14ac:dyDescent="0.45">
      <c r="A849" s="180" t="s">
        <v>494</v>
      </c>
      <c r="B849" s="73">
        <v>30</v>
      </c>
      <c r="C849" s="73"/>
      <c r="D849" s="180" t="s">
        <v>317</v>
      </c>
      <c r="E849" s="39">
        <v>43603</v>
      </c>
      <c r="F849" s="179">
        <v>0.70694444444444438</v>
      </c>
      <c r="G849" s="180">
        <v>7</v>
      </c>
      <c r="H849" s="180" t="s">
        <v>407</v>
      </c>
      <c r="I849" s="180"/>
      <c r="J849" s="180"/>
      <c r="K849" s="180"/>
      <c r="L849" s="180"/>
      <c r="M849" s="180"/>
      <c r="N849" s="180"/>
      <c r="O849" s="180"/>
      <c r="P849" s="180"/>
    </row>
    <row r="850" spans="1:16" x14ac:dyDescent="0.45">
      <c r="A850" s="180" t="s">
        <v>494</v>
      </c>
      <c r="B850" s="73">
        <v>30</v>
      </c>
      <c r="C850" s="73"/>
      <c r="D850" s="180" t="s">
        <v>317</v>
      </c>
      <c r="E850" s="39">
        <v>43603</v>
      </c>
      <c r="F850" s="179">
        <v>0.70694444444444438</v>
      </c>
      <c r="G850" s="180">
        <v>7</v>
      </c>
      <c r="H850" s="180" t="s">
        <v>407</v>
      </c>
      <c r="I850" s="180"/>
      <c r="J850" s="180"/>
      <c r="K850" s="180"/>
      <c r="L850" s="180"/>
      <c r="M850" s="180"/>
      <c r="N850" s="180"/>
      <c r="O850" s="180"/>
      <c r="P850" s="180"/>
    </row>
    <row r="851" spans="1:16" x14ac:dyDescent="0.45">
      <c r="A851" s="180" t="s">
        <v>494</v>
      </c>
      <c r="B851" s="73">
        <v>70</v>
      </c>
      <c r="C851" s="73">
        <v>70</v>
      </c>
      <c r="D851" s="180" t="s">
        <v>311</v>
      </c>
      <c r="E851" s="39">
        <v>43603</v>
      </c>
      <c r="F851" s="179">
        <v>0.70833333333333337</v>
      </c>
      <c r="G851" s="180">
        <v>11</v>
      </c>
      <c r="H851" s="180" t="s">
        <v>408</v>
      </c>
      <c r="I851" s="180"/>
      <c r="J851" s="180"/>
      <c r="K851" s="180"/>
      <c r="L851" s="180"/>
      <c r="M851" s="180"/>
      <c r="N851" s="180"/>
      <c r="O851" s="180"/>
      <c r="P851" s="180"/>
    </row>
    <row r="852" spans="1:16" x14ac:dyDescent="0.45">
      <c r="A852" s="180" t="s">
        <v>494</v>
      </c>
      <c r="B852" s="73">
        <v>36</v>
      </c>
      <c r="C852" s="73">
        <v>36</v>
      </c>
      <c r="D852" s="180" t="s">
        <v>271</v>
      </c>
      <c r="E852" s="39">
        <v>43603</v>
      </c>
      <c r="F852" s="179">
        <v>0.70833333333333337</v>
      </c>
      <c r="G852" s="180">
        <v>3</v>
      </c>
      <c r="H852" s="180" t="s">
        <v>272</v>
      </c>
      <c r="I852" s="180"/>
      <c r="J852" s="180"/>
      <c r="K852" s="180"/>
      <c r="L852" s="180"/>
      <c r="M852" s="180"/>
      <c r="N852" s="180"/>
      <c r="O852" s="180"/>
      <c r="P852" s="180"/>
    </row>
    <row r="853" spans="1:16" x14ac:dyDescent="0.45">
      <c r="A853" s="180" t="s">
        <v>494</v>
      </c>
      <c r="B853" s="73">
        <v>2</v>
      </c>
      <c r="C853" s="73">
        <v>2</v>
      </c>
      <c r="D853" s="180" t="s">
        <v>318</v>
      </c>
      <c r="E853" s="39">
        <v>43608</v>
      </c>
      <c r="F853" s="179">
        <v>0.8125</v>
      </c>
      <c r="G853" s="180">
        <v>2</v>
      </c>
      <c r="H853" s="180" t="s">
        <v>497</v>
      </c>
      <c r="I853" s="180"/>
      <c r="J853" s="180"/>
      <c r="K853" s="180"/>
      <c r="L853" s="180"/>
      <c r="M853" s="180"/>
      <c r="N853" s="180"/>
      <c r="O853" s="180"/>
      <c r="P853" s="180"/>
    </row>
    <row r="854" spans="1:16" x14ac:dyDescent="0.45">
      <c r="A854" s="180" t="s">
        <v>494</v>
      </c>
      <c r="B854" s="73">
        <v>2</v>
      </c>
      <c r="C854" s="73"/>
      <c r="D854" s="180" t="s">
        <v>318</v>
      </c>
      <c r="E854" s="39">
        <v>43608</v>
      </c>
      <c r="F854" s="179">
        <v>0.8125</v>
      </c>
      <c r="G854" s="180">
        <v>2</v>
      </c>
      <c r="H854" s="180" t="s">
        <v>303</v>
      </c>
      <c r="I854" s="180"/>
      <c r="J854" s="180"/>
      <c r="K854" s="180"/>
      <c r="L854" s="180"/>
      <c r="M854" s="180"/>
      <c r="N854" s="180"/>
      <c r="O854" s="180"/>
      <c r="P854" s="180"/>
    </row>
    <row r="855" spans="1:16" x14ac:dyDescent="0.45">
      <c r="A855" s="180" t="s">
        <v>494</v>
      </c>
      <c r="B855" s="73">
        <v>1</v>
      </c>
      <c r="C855" s="73">
        <v>1</v>
      </c>
      <c r="D855" s="180" t="s">
        <v>271</v>
      </c>
      <c r="E855" s="39">
        <v>43608</v>
      </c>
      <c r="F855" s="179">
        <v>0.50902777777777775</v>
      </c>
      <c r="G855" s="180">
        <v>1</v>
      </c>
      <c r="H855" s="180" t="s">
        <v>458</v>
      </c>
      <c r="I855" s="180"/>
      <c r="J855" s="180"/>
      <c r="K855" s="180"/>
      <c r="L855" s="180"/>
      <c r="M855" s="180"/>
      <c r="N855" s="180"/>
      <c r="O855" s="180"/>
      <c r="P855" s="180"/>
    </row>
    <row r="856" spans="1:16" x14ac:dyDescent="0.45">
      <c r="A856" s="1" t="s">
        <v>273</v>
      </c>
      <c r="B856" s="73"/>
      <c r="C856" s="73">
        <f>SUM(C802:C855)</f>
        <v>3945</v>
      </c>
      <c r="D856" s="180"/>
      <c r="E856" s="39"/>
      <c r="F856" s="179"/>
      <c r="G856" s="180"/>
      <c r="H856" s="180"/>
      <c r="I856" s="180"/>
      <c r="J856" s="180"/>
      <c r="K856" s="180"/>
      <c r="L856" s="180"/>
      <c r="M856" s="180"/>
      <c r="N856" s="180"/>
      <c r="O856" s="180"/>
      <c r="P856" s="180"/>
    </row>
    <row r="857" spans="1:16" x14ac:dyDescent="0.45">
      <c r="A857" s="180"/>
      <c r="B857" s="73"/>
      <c r="C857" s="73"/>
      <c r="D857" s="180"/>
      <c r="E857" s="39"/>
      <c r="F857" s="179"/>
      <c r="G857" s="180"/>
      <c r="H857" s="180"/>
      <c r="I857" s="180"/>
      <c r="J857" s="180"/>
      <c r="K857" s="180"/>
      <c r="L857" s="180"/>
      <c r="M857" s="180"/>
      <c r="N857" s="180"/>
      <c r="O857" s="180"/>
      <c r="P857" s="180"/>
    </row>
    <row r="858" spans="1:16" x14ac:dyDescent="0.45">
      <c r="A858" s="180" t="s">
        <v>17</v>
      </c>
      <c r="B858" s="73">
        <v>8</v>
      </c>
      <c r="C858" s="73">
        <v>8</v>
      </c>
      <c r="D858" s="180" t="s">
        <v>281</v>
      </c>
      <c r="E858" s="39">
        <v>43592</v>
      </c>
      <c r="F858" s="179">
        <v>0.67152777777777783</v>
      </c>
      <c r="G858" s="180">
        <v>1</v>
      </c>
      <c r="H858" s="180"/>
      <c r="I858" s="180"/>
      <c r="J858" s="180"/>
      <c r="K858" s="180"/>
      <c r="L858" s="180"/>
      <c r="M858" s="180"/>
      <c r="N858" s="180"/>
      <c r="O858" s="180"/>
      <c r="P858" s="180"/>
    </row>
    <row r="859" spans="1:16" x14ac:dyDescent="0.45">
      <c r="A859" s="180" t="s">
        <v>17</v>
      </c>
      <c r="B859" s="73">
        <v>1000</v>
      </c>
      <c r="C859" s="73">
        <v>1000</v>
      </c>
      <c r="D859" s="180" t="s">
        <v>278</v>
      </c>
      <c r="E859" s="39">
        <v>43593</v>
      </c>
      <c r="F859" s="180"/>
      <c r="G859" s="180"/>
      <c r="H859" s="180" t="s">
        <v>280</v>
      </c>
      <c r="I859" s="180"/>
      <c r="J859" s="180"/>
      <c r="K859" s="180"/>
      <c r="L859" s="180"/>
      <c r="M859" s="180"/>
      <c r="N859" s="180"/>
      <c r="O859" s="180"/>
      <c r="P859" s="180"/>
    </row>
    <row r="860" spans="1:16" x14ac:dyDescent="0.45">
      <c r="A860" s="180" t="s">
        <v>17</v>
      </c>
      <c r="B860" s="73">
        <v>375</v>
      </c>
      <c r="C860" s="73">
        <v>375</v>
      </c>
      <c r="D860" s="180" t="s">
        <v>281</v>
      </c>
      <c r="E860" s="39">
        <v>43593</v>
      </c>
      <c r="F860" s="179">
        <v>0.41666666666666669</v>
      </c>
      <c r="G860" s="180">
        <v>4</v>
      </c>
      <c r="H860" s="180"/>
      <c r="I860" s="180"/>
      <c r="J860" s="180"/>
      <c r="K860" s="180"/>
      <c r="L860" s="180"/>
      <c r="M860" s="180"/>
      <c r="N860" s="180"/>
      <c r="O860" s="180"/>
      <c r="P860" s="180"/>
    </row>
    <row r="861" spans="1:16" x14ac:dyDescent="0.45">
      <c r="A861" s="180" t="s">
        <v>17</v>
      </c>
      <c r="B861" s="73">
        <v>375</v>
      </c>
      <c r="C861" s="73"/>
      <c r="D861" s="180" t="s">
        <v>281</v>
      </c>
      <c r="E861" s="39">
        <v>43593</v>
      </c>
      <c r="F861" s="179">
        <v>0.41666666666666669</v>
      </c>
      <c r="G861" s="180">
        <v>4</v>
      </c>
      <c r="H861" s="180"/>
      <c r="I861" s="180"/>
      <c r="J861" s="180"/>
      <c r="K861" s="180"/>
      <c r="L861" s="180"/>
      <c r="M861" s="180"/>
      <c r="N861" s="180"/>
      <c r="O861" s="180"/>
      <c r="P861" s="180"/>
    </row>
    <row r="862" spans="1:16" x14ac:dyDescent="0.45">
      <c r="A862" s="180" t="s">
        <v>17</v>
      </c>
      <c r="B862" s="73">
        <v>375</v>
      </c>
      <c r="C862" s="73"/>
      <c r="D862" s="180" t="s">
        <v>281</v>
      </c>
      <c r="E862" s="39">
        <v>43593</v>
      </c>
      <c r="F862" s="179">
        <v>0.41666666666666669</v>
      </c>
      <c r="G862" s="180">
        <v>4</v>
      </c>
      <c r="H862" s="180"/>
      <c r="I862" s="180"/>
      <c r="J862" s="180"/>
      <c r="K862" s="180"/>
      <c r="L862" s="180"/>
      <c r="M862" s="180"/>
      <c r="N862" s="180"/>
      <c r="O862" s="180"/>
      <c r="P862" s="180"/>
    </row>
    <row r="863" spans="1:16" x14ac:dyDescent="0.45">
      <c r="A863" s="180" t="s">
        <v>17</v>
      </c>
      <c r="B863" s="73">
        <v>400</v>
      </c>
      <c r="C863" s="73"/>
      <c r="D863" s="180" t="s">
        <v>282</v>
      </c>
      <c r="E863" s="39">
        <v>43593</v>
      </c>
      <c r="F863" s="179">
        <v>0.375</v>
      </c>
      <c r="G863" s="180">
        <v>6</v>
      </c>
      <c r="H863" s="180" t="s">
        <v>283</v>
      </c>
      <c r="I863" s="180"/>
      <c r="J863" s="180"/>
      <c r="K863" s="180"/>
      <c r="L863" s="180"/>
      <c r="M863" s="180"/>
      <c r="N863" s="180"/>
      <c r="O863" s="180"/>
      <c r="P863" s="180"/>
    </row>
    <row r="864" spans="1:16" x14ac:dyDescent="0.45">
      <c r="A864" s="180" t="s">
        <v>17</v>
      </c>
      <c r="B864" s="73">
        <v>250</v>
      </c>
      <c r="C864" s="73"/>
      <c r="D864" s="180" t="s">
        <v>286</v>
      </c>
      <c r="E864" s="39">
        <v>43593</v>
      </c>
      <c r="F864" s="179">
        <v>0.35833333333333334</v>
      </c>
      <c r="G864" s="180">
        <v>1</v>
      </c>
      <c r="H864" s="180" t="s">
        <v>287</v>
      </c>
      <c r="I864" s="180"/>
      <c r="J864" s="180"/>
      <c r="K864" s="180"/>
      <c r="L864" s="180"/>
      <c r="M864" s="180"/>
      <c r="N864" s="180"/>
      <c r="O864" s="180"/>
      <c r="P864" s="180"/>
    </row>
    <row r="865" spans="1:16" x14ac:dyDescent="0.45">
      <c r="A865" s="180" t="s">
        <v>17</v>
      </c>
      <c r="B865" s="73">
        <v>60</v>
      </c>
      <c r="C865" s="73">
        <v>60</v>
      </c>
      <c r="D865" s="180" t="s">
        <v>319</v>
      </c>
      <c r="E865" s="39">
        <v>43594</v>
      </c>
      <c r="F865" s="179">
        <v>0.32291666666666669</v>
      </c>
      <c r="G865" s="180">
        <v>3</v>
      </c>
      <c r="H865" s="180"/>
      <c r="I865" s="180"/>
      <c r="J865" s="180"/>
      <c r="K865" s="180"/>
      <c r="L865" s="180"/>
      <c r="M865" s="180"/>
      <c r="N865" s="180"/>
      <c r="O865" s="180"/>
      <c r="P865" s="180"/>
    </row>
    <row r="866" spans="1:16" x14ac:dyDescent="0.45">
      <c r="A866" s="180" t="s">
        <v>17</v>
      </c>
      <c r="B866" s="73">
        <v>50</v>
      </c>
      <c r="C866" s="73"/>
      <c r="D866" s="180" t="s">
        <v>319</v>
      </c>
      <c r="E866" s="39">
        <v>43594</v>
      </c>
      <c r="F866" s="179">
        <v>0.33333333333333331</v>
      </c>
      <c r="G866" s="180">
        <v>5</v>
      </c>
      <c r="H866" s="180" t="s">
        <v>320</v>
      </c>
      <c r="I866" s="180"/>
      <c r="J866" s="180"/>
      <c r="K866" s="180"/>
      <c r="L866" s="180"/>
      <c r="M866" s="180"/>
      <c r="N866" s="180"/>
      <c r="O866" s="180"/>
      <c r="P866" s="180"/>
    </row>
    <row r="867" spans="1:16" x14ac:dyDescent="0.45">
      <c r="A867" s="180" t="s">
        <v>17</v>
      </c>
      <c r="B867" s="73">
        <v>1</v>
      </c>
      <c r="C867" s="73">
        <v>1</v>
      </c>
      <c r="D867" s="180" t="s">
        <v>281</v>
      </c>
      <c r="E867" s="39">
        <v>43594</v>
      </c>
      <c r="F867" s="179">
        <v>0.61944444444444446</v>
      </c>
      <c r="G867" s="180">
        <v>8</v>
      </c>
      <c r="H867" s="180"/>
      <c r="I867" s="180"/>
      <c r="J867" s="180"/>
      <c r="K867" s="180"/>
      <c r="L867" s="180"/>
      <c r="M867" s="180"/>
      <c r="N867" s="180"/>
      <c r="O867" s="180"/>
      <c r="P867" s="180"/>
    </row>
    <row r="868" spans="1:16" x14ac:dyDescent="0.45">
      <c r="A868" s="180" t="s">
        <v>17</v>
      </c>
      <c r="B868" s="73">
        <v>20</v>
      </c>
      <c r="C868" s="73">
        <v>20</v>
      </c>
      <c r="D868" s="180" t="s">
        <v>498</v>
      </c>
      <c r="E868" s="39">
        <v>43594</v>
      </c>
      <c r="F868" s="179">
        <v>0.35416666666666669</v>
      </c>
      <c r="G868" s="180">
        <v>7</v>
      </c>
      <c r="H868" s="180" t="s">
        <v>499</v>
      </c>
      <c r="I868" s="180"/>
      <c r="J868" s="180"/>
      <c r="K868" s="180"/>
      <c r="L868" s="180"/>
      <c r="M868" s="180"/>
      <c r="N868" s="180"/>
      <c r="O868" s="180"/>
      <c r="P868" s="180"/>
    </row>
    <row r="869" spans="1:16" x14ac:dyDescent="0.45">
      <c r="A869" s="180" t="s">
        <v>17</v>
      </c>
      <c r="B869" s="73">
        <v>20</v>
      </c>
      <c r="C869" s="73"/>
      <c r="D869" s="180" t="s">
        <v>498</v>
      </c>
      <c r="E869" s="39">
        <v>43594</v>
      </c>
      <c r="F869" s="179">
        <v>0.35416666666666669</v>
      </c>
      <c r="G869" s="180">
        <v>7</v>
      </c>
      <c r="H869" s="180" t="s">
        <v>499</v>
      </c>
      <c r="I869" s="180"/>
      <c r="J869" s="180"/>
      <c r="K869" s="180"/>
      <c r="L869" s="180"/>
      <c r="M869" s="180"/>
      <c r="N869" s="180"/>
      <c r="O869" s="180"/>
      <c r="P869" s="180"/>
    </row>
    <row r="870" spans="1:16" x14ac:dyDescent="0.45">
      <c r="A870" s="180" t="s">
        <v>17</v>
      </c>
      <c r="B870" s="73">
        <v>1</v>
      </c>
      <c r="C870" s="73"/>
      <c r="D870" s="180" t="s">
        <v>500</v>
      </c>
      <c r="E870" s="39">
        <v>43594</v>
      </c>
      <c r="F870" s="179">
        <v>0.62222222222222223</v>
      </c>
      <c r="G870" s="180">
        <v>7</v>
      </c>
      <c r="H870" s="180" t="s">
        <v>501</v>
      </c>
      <c r="I870" s="180"/>
      <c r="J870" s="180"/>
      <c r="K870" s="180"/>
      <c r="L870" s="180"/>
      <c r="M870" s="180"/>
      <c r="N870" s="180"/>
      <c r="O870" s="180"/>
      <c r="P870" s="180"/>
    </row>
    <row r="871" spans="1:16" x14ac:dyDescent="0.45">
      <c r="A871" s="180" t="s">
        <v>17</v>
      </c>
      <c r="B871" s="73">
        <v>65</v>
      </c>
      <c r="C871" s="73">
        <v>65</v>
      </c>
      <c r="D871" s="180" t="s">
        <v>128</v>
      </c>
      <c r="E871" s="39">
        <v>43595</v>
      </c>
      <c r="F871" s="179">
        <v>0.6875</v>
      </c>
      <c r="G871" s="180">
        <v>4</v>
      </c>
      <c r="H871" s="180" t="s">
        <v>485</v>
      </c>
      <c r="I871" s="180"/>
      <c r="J871" s="180"/>
      <c r="K871" s="180"/>
      <c r="L871" s="180"/>
      <c r="M871" s="180"/>
      <c r="N871" s="180"/>
      <c r="O871" s="180"/>
      <c r="P871" s="180"/>
    </row>
    <row r="872" spans="1:16" x14ac:dyDescent="0.45">
      <c r="A872" s="180" t="s">
        <v>17</v>
      </c>
      <c r="B872" s="73">
        <v>1</v>
      </c>
      <c r="C872" s="73"/>
      <c r="D872" s="180" t="s">
        <v>379</v>
      </c>
      <c r="E872" s="39">
        <v>43596</v>
      </c>
      <c r="F872" s="179">
        <v>0.5</v>
      </c>
      <c r="G872" s="180">
        <v>2</v>
      </c>
      <c r="H872" s="180"/>
      <c r="I872" s="180"/>
      <c r="J872" s="180"/>
      <c r="K872" s="180"/>
      <c r="L872" s="180"/>
      <c r="M872" s="180"/>
      <c r="N872" s="180"/>
      <c r="O872" s="180"/>
      <c r="P872" s="180"/>
    </row>
    <row r="873" spans="1:16" x14ac:dyDescent="0.45">
      <c r="A873" s="180" t="s">
        <v>17</v>
      </c>
      <c r="B873" s="73">
        <v>1</v>
      </c>
      <c r="C873" s="73"/>
      <c r="D873" s="180" t="s">
        <v>502</v>
      </c>
      <c r="E873" s="39">
        <v>43596</v>
      </c>
      <c r="F873" s="179">
        <v>0.34027777777777773</v>
      </c>
      <c r="G873" s="180">
        <v>1</v>
      </c>
      <c r="H873" s="180"/>
      <c r="I873" s="180"/>
      <c r="J873" s="180"/>
      <c r="K873" s="180"/>
      <c r="L873" s="180"/>
      <c r="M873" s="180"/>
      <c r="N873" s="180"/>
      <c r="O873" s="180"/>
      <c r="P873" s="180"/>
    </row>
    <row r="874" spans="1:16" x14ac:dyDescent="0.45">
      <c r="A874" s="180" t="s">
        <v>17</v>
      </c>
      <c r="B874" s="73">
        <v>1</v>
      </c>
      <c r="C874" s="73"/>
      <c r="D874" s="180" t="s">
        <v>442</v>
      </c>
      <c r="E874" s="39">
        <v>43596</v>
      </c>
      <c r="F874" s="179">
        <v>0.5395833333333333</v>
      </c>
      <c r="G874" s="180">
        <v>1</v>
      </c>
      <c r="H874" s="180"/>
      <c r="I874" s="180"/>
      <c r="J874" s="180"/>
      <c r="K874" s="180"/>
      <c r="L874" s="180"/>
      <c r="M874" s="180"/>
      <c r="N874" s="180"/>
      <c r="O874" s="180"/>
      <c r="P874" s="180"/>
    </row>
    <row r="875" spans="1:16" x14ac:dyDescent="0.45">
      <c r="A875" s="180" t="s">
        <v>17</v>
      </c>
      <c r="B875" s="73">
        <v>26</v>
      </c>
      <c r="C875" s="73"/>
      <c r="D875" s="180" t="s">
        <v>72</v>
      </c>
      <c r="E875" s="39">
        <v>43596</v>
      </c>
      <c r="F875" s="179">
        <v>0.33333333333333331</v>
      </c>
      <c r="G875" s="180">
        <v>2</v>
      </c>
      <c r="H875" s="180" t="s">
        <v>322</v>
      </c>
      <c r="I875" s="180"/>
      <c r="J875" s="180"/>
      <c r="K875" s="180"/>
      <c r="L875" s="180"/>
      <c r="M875" s="180"/>
      <c r="N875" s="180"/>
      <c r="O875" s="180"/>
      <c r="P875" s="180"/>
    </row>
    <row r="876" spans="1:16" x14ac:dyDescent="0.45">
      <c r="A876" s="180" t="s">
        <v>17</v>
      </c>
      <c r="B876" s="73">
        <v>35</v>
      </c>
      <c r="C876" s="73"/>
      <c r="D876" s="180" t="s">
        <v>128</v>
      </c>
      <c r="E876" s="39">
        <v>43596</v>
      </c>
      <c r="F876" s="179">
        <v>0.3125</v>
      </c>
      <c r="G876" s="180">
        <v>6</v>
      </c>
      <c r="H876" s="180" t="s">
        <v>503</v>
      </c>
      <c r="I876" s="180"/>
      <c r="J876" s="180"/>
      <c r="K876" s="180"/>
      <c r="L876" s="180"/>
      <c r="M876" s="180"/>
      <c r="N876" s="180"/>
      <c r="O876" s="180"/>
      <c r="P876" s="180"/>
    </row>
    <row r="877" spans="1:16" x14ac:dyDescent="0.45">
      <c r="A877" s="180" t="s">
        <v>17</v>
      </c>
      <c r="B877" s="73">
        <v>1</v>
      </c>
      <c r="C877" s="73"/>
      <c r="D877" s="180" t="s">
        <v>309</v>
      </c>
      <c r="E877" s="39">
        <v>43596</v>
      </c>
      <c r="F877" s="179">
        <v>0.32569444444444445</v>
      </c>
      <c r="G877" s="180">
        <v>3</v>
      </c>
      <c r="H877" s="180" t="s">
        <v>361</v>
      </c>
      <c r="I877" s="180"/>
      <c r="J877" s="180"/>
      <c r="K877" s="180"/>
      <c r="L877" s="180"/>
      <c r="M877" s="180"/>
      <c r="N877" s="180"/>
      <c r="O877" s="180"/>
      <c r="P877" s="180"/>
    </row>
    <row r="878" spans="1:16" x14ac:dyDescent="0.45">
      <c r="A878" s="180" t="s">
        <v>17</v>
      </c>
      <c r="B878" s="73">
        <v>1</v>
      </c>
      <c r="C878" s="73"/>
      <c r="D878" s="180" t="s">
        <v>309</v>
      </c>
      <c r="E878" s="39">
        <v>43596</v>
      </c>
      <c r="F878" s="179">
        <v>0.28472222222222221</v>
      </c>
      <c r="G878" s="180">
        <v>1</v>
      </c>
      <c r="H878" s="180"/>
      <c r="I878" s="180"/>
      <c r="J878" s="180"/>
      <c r="K878" s="180"/>
      <c r="L878" s="180"/>
      <c r="M878" s="180"/>
      <c r="N878" s="180"/>
      <c r="O878" s="180"/>
      <c r="P878" s="180"/>
    </row>
    <row r="879" spans="1:16" x14ac:dyDescent="0.45">
      <c r="A879" s="180" t="s">
        <v>17</v>
      </c>
      <c r="B879" s="73">
        <v>1</v>
      </c>
      <c r="C879" s="73"/>
      <c r="D879" s="180" t="s">
        <v>309</v>
      </c>
      <c r="E879" s="39">
        <v>43596</v>
      </c>
      <c r="F879" s="179">
        <v>0.32291666666666669</v>
      </c>
      <c r="G879" s="180">
        <v>5</v>
      </c>
      <c r="H879" s="180"/>
      <c r="I879" s="180"/>
      <c r="J879" s="180"/>
      <c r="K879" s="180"/>
      <c r="L879" s="180"/>
      <c r="M879" s="180"/>
      <c r="N879" s="180"/>
      <c r="O879" s="180"/>
      <c r="P879" s="180"/>
    </row>
    <row r="880" spans="1:16" x14ac:dyDescent="0.45">
      <c r="A880" s="180" t="s">
        <v>17</v>
      </c>
      <c r="B880" s="73">
        <v>1</v>
      </c>
      <c r="C880" s="73"/>
      <c r="D880" s="180" t="s">
        <v>309</v>
      </c>
      <c r="E880" s="39">
        <v>43596</v>
      </c>
      <c r="F880" s="179">
        <v>0.3347222222222222</v>
      </c>
      <c r="G880" s="180">
        <v>1</v>
      </c>
      <c r="H880" s="180"/>
      <c r="I880" s="180"/>
      <c r="J880" s="180"/>
      <c r="K880" s="180"/>
      <c r="L880" s="180"/>
      <c r="M880" s="180"/>
      <c r="N880" s="180"/>
      <c r="O880" s="180"/>
      <c r="P880" s="180"/>
    </row>
    <row r="881" spans="1:16" x14ac:dyDescent="0.45">
      <c r="A881" s="180" t="s">
        <v>17</v>
      </c>
      <c r="B881" s="73">
        <v>2</v>
      </c>
      <c r="C881" s="73">
        <v>2</v>
      </c>
      <c r="D881" s="180" t="s">
        <v>309</v>
      </c>
      <c r="E881" s="39">
        <v>43596</v>
      </c>
      <c r="F881" s="179">
        <v>0.37986111111111115</v>
      </c>
      <c r="G881" s="180">
        <v>1</v>
      </c>
      <c r="H881" s="180"/>
      <c r="I881" s="180"/>
      <c r="J881" s="180"/>
      <c r="K881" s="180"/>
      <c r="L881" s="180"/>
      <c r="M881" s="180"/>
      <c r="N881" s="180"/>
      <c r="O881" s="180"/>
      <c r="P881" s="180"/>
    </row>
    <row r="882" spans="1:16" x14ac:dyDescent="0.45">
      <c r="A882" s="180" t="s">
        <v>17</v>
      </c>
      <c r="B882" s="73">
        <v>1</v>
      </c>
      <c r="C882" s="73"/>
      <c r="D882" s="180" t="s">
        <v>309</v>
      </c>
      <c r="E882" s="39">
        <v>43596</v>
      </c>
      <c r="F882" s="179">
        <v>0.36319444444444443</v>
      </c>
      <c r="G882" s="180">
        <v>1</v>
      </c>
      <c r="H882" s="180" t="s">
        <v>360</v>
      </c>
      <c r="I882" s="180"/>
      <c r="J882" s="180"/>
      <c r="K882" s="180"/>
      <c r="L882" s="180"/>
      <c r="M882" s="180"/>
      <c r="N882" s="180"/>
      <c r="O882" s="180"/>
      <c r="P882" s="180"/>
    </row>
    <row r="883" spans="1:16" x14ac:dyDescent="0.45">
      <c r="A883" s="180" t="s">
        <v>17</v>
      </c>
      <c r="B883" s="73">
        <v>2</v>
      </c>
      <c r="C883" s="73"/>
      <c r="D883" s="180" t="s">
        <v>309</v>
      </c>
      <c r="E883" s="39">
        <v>43596</v>
      </c>
      <c r="F883" s="179">
        <v>0.32291666666666669</v>
      </c>
      <c r="G883" s="180">
        <v>1</v>
      </c>
      <c r="H883" s="180" t="s">
        <v>364</v>
      </c>
      <c r="I883" s="180"/>
      <c r="J883" s="180"/>
      <c r="K883" s="180"/>
      <c r="L883" s="180"/>
      <c r="M883" s="180"/>
      <c r="N883" s="180"/>
      <c r="O883" s="180"/>
      <c r="P883" s="180"/>
    </row>
    <row r="884" spans="1:16" x14ac:dyDescent="0.45">
      <c r="A884" s="180" t="s">
        <v>17</v>
      </c>
      <c r="B884" s="73">
        <v>1</v>
      </c>
      <c r="C884" s="73"/>
      <c r="D884" s="180" t="s">
        <v>324</v>
      </c>
      <c r="E884" s="39">
        <v>43596</v>
      </c>
      <c r="F884" s="179">
        <v>0.28333333333333333</v>
      </c>
      <c r="G884" s="180">
        <v>2</v>
      </c>
      <c r="H884" s="180"/>
      <c r="I884" s="180"/>
      <c r="J884" s="180"/>
      <c r="K884" s="180"/>
      <c r="L884" s="180"/>
      <c r="M884" s="180"/>
      <c r="N884" s="180"/>
      <c r="O884" s="180"/>
      <c r="P884" s="180"/>
    </row>
    <row r="885" spans="1:16" x14ac:dyDescent="0.45">
      <c r="A885" s="180" t="s">
        <v>17</v>
      </c>
      <c r="B885" s="73">
        <v>4</v>
      </c>
      <c r="C885" s="73">
        <v>4</v>
      </c>
      <c r="D885" s="180" t="s">
        <v>271</v>
      </c>
      <c r="E885" s="39">
        <v>43596</v>
      </c>
      <c r="F885" s="179">
        <v>0.33194444444444443</v>
      </c>
      <c r="G885" s="180">
        <v>2</v>
      </c>
      <c r="H885" s="180"/>
      <c r="I885" s="180"/>
      <c r="J885" s="180"/>
      <c r="K885" s="180"/>
      <c r="L885" s="180"/>
      <c r="M885" s="180"/>
      <c r="N885" s="180"/>
      <c r="O885" s="180"/>
      <c r="P885" s="180"/>
    </row>
    <row r="886" spans="1:16" x14ac:dyDescent="0.45">
      <c r="A886" s="180" t="s">
        <v>17</v>
      </c>
      <c r="B886" s="73">
        <v>1</v>
      </c>
      <c r="C886" s="73"/>
      <c r="D886" s="180" t="s">
        <v>271</v>
      </c>
      <c r="E886" s="39">
        <v>43596</v>
      </c>
      <c r="F886" s="179">
        <v>0.52083333333333337</v>
      </c>
      <c r="G886" s="180">
        <v>3</v>
      </c>
      <c r="H886" s="180"/>
      <c r="I886" s="180"/>
      <c r="J886" s="180"/>
      <c r="K886" s="180"/>
      <c r="L886" s="180"/>
      <c r="M886" s="180"/>
      <c r="N886" s="180"/>
      <c r="O886" s="180"/>
      <c r="P886" s="180"/>
    </row>
    <row r="887" spans="1:16" x14ac:dyDescent="0.45">
      <c r="A887" s="180" t="s">
        <v>17</v>
      </c>
      <c r="B887" s="73">
        <v>1</v>
      </c>
      <c r="C887" s="73"/>
      <c r="D887" s="180" t="s">
        <v>271</v>
      </c>
      <c r="E887" s="39">
        <v>43596</v>
      </c>
      <c r="F887" s="179">
        <v>0.5625</v>
      </c>
      <c r="G887" s="180">
        <v>3</v>
      </c>
      <c r="H887" s="180"/>
      <c r="I887" s="180"/>
      <c r="J887" s="180"/>
      <c r="K887" s="180"/>
      <c r="L887" s="180"/>
      <c r="M887" s="180"/>
      <c r="N887" s="180"/>
      <c r="O887" s="180"/>
      <c r="P887" s="180"/>
    </row>
    <row r="888" spans="1:16" x14ac:dyDescent="0.45">
      <c r="A888" s="180" t="s">
        <v>17</v>
      </c>
      <c r="B888" s="73">
        <v>1</v>
      </c>
      <c r="C888" s="73"/>
      <c r="D888" s="180" t="s">
        <v>271</v>
      </c>
      <c r="E888" s="39">
        <v>43596</v>
      </c>
      <c r="F888" s="179">
        <v>0.47916666666666669</v>
      </c>
      <c r="G888" s="180">
        <v>4</v>
      </c>
      <c r="H888" s="180" t="s">
        <v>393</v>
      </c>
      <c r="I888" s="180"/>
      <c r="J888" s="180"/>
      <c r="K888" s="180"/>
      <c r="L888" s="180"/>
      <c r="M888" s="180"/>
      <c r="N888" s="180"/>
      <c r="O888" s="180"/>
      <c r="P888" s="180"/>
    </row>
    <row r="889" spans="1:16" x14ac:dyDescent="0.45">
      <c r="A889" s="180" t="s">
        <v>17</v>
      </c>
      <c r="B889" s="73">
        <v>4</v>
      </c>
      <c r="C889" s="73"/>
      <c r="D889" s="180" t="s">
        <v>271</v>
      </c>
      <c r="E889" s="39">
        <v>43596</v>
      </c>
      <c r="F889" s="179">
        <v>0.5756944444444444</v>
      </c>
      <c r="G889" s="180">
        <v>2</v>
      </c>
      <c r="H889" s="180"/>
      <c r="I889" s="180"/>
      <c r="J889" s="180"/>
      <c r="K889" s="180"/>
      <c r="L889" s="180"/>
      <c r="M889" s="180"/>
      <c r="N889" s="180"/>
      <c r="O889" s="180"/>
      <c r="P889" s="180"/>
    </row>
    <row r="890" spans="1:16" x14ac:dyDescent="0.45">
      <c r="A890" s="180" t="s">
        <v>17</v>
      </c>
      <c r="B890" s="73">
        <v>4</v>
      </c>
      <c r="C890" s="73"/>
      <c r="D890" s="180" t="s">
        <v>271</v>
      </c>
      <c r="E890" s="39">
        <v>43596</v>
      </c>
      <c r="F890" s="179">
        <v>0.5756944444444444</v>
      </c>
      <c r="G890" s="180">
        <v>2</v>
      </c>
      <c r="H890" s="180"/>
      <c r="I890" s="180"/>
      <c r="J890" s="180"/>
      <c r="K890" s="180"/>
      <c r="L890" s="180"/>
      <c r="M890" s="180"/>
      <c r="N890" s="180"/>
      <c r="O890" s="180"/>
      <c r="P890" s="180"/>
    </row>
    <row r="891" spans="1:16" x14ac:dyDescent="0.45">
      <c r="A891" s="180" t="s">
        <v>17</v>
      </c>
      <c r="B891" s="73">
        <v>1</v>
      </c>
      <c r="C891" s="73"/>
      <c r="D891" s="180" t="s">
        <v>271</v>
      </c>
      <c r="E891" s="39">
        <v>43596</v>
      </c>
      <c r="F891" s="179">
        <v>0.4861111111111111</v>
      </c>
      <c r="G891" s="180">
        <v>1</v>
      </c>
      <c r="H891" s="180" t="s">
        <v>390</v>
      </c>
      <c r="I891" s="180"/>
      <c r="J891" s="180"/>
      <c r="K891" s="180"/>
      <c r="L891" s="180"/>
      <c r="M891" s="180"/>
      <c r="N891" s="180"/>
      <c r="O891" s="180"/>
      <c r="P891" s="180"/>
    </row>
    <row r="892" spans="1:16" x14ac:dyDescent="0.45">
      <c r="A892" s="180" t="s">
        <v>17</v>
      </c>
      <c r="B892" s="73">
        <v>1</v>
      </c>
      <c r="C892" s="73"/>
      <c r="D892" s="180" t="s">
        <v>271</v>
      </c>
      <c r="E892" s="39">
        <v>43596</v>
      </c>
      <c r="F892" s="179">
        <v>0.53611111111111109</v>
      </c>
      <c r="G892" s="180">
        <v>2</v>
      </c>
      <c r="H892" s="180"/>
      <c r="I892" s="180"/>
      <c r="J892" s="180"/>
      <c r="K892" s="180"/>
      <c r="L892" s="180"/>
      <c r="M892" s="180"/>
      <c r="N892" s="180"/>
      <c r="O892" s="180"/>
      <c r="P892" s="180"/>
    </row>
    <row r="893" spans="1:16" x14ac:dyDescent="0.45">
      <c r="A893" s="180" t="s">
        <v>17</v>
      </c>
      <c r="B893" s="73">
        <v>1</v>
      </c>
      <c r="C893" s="73"/>
      <c r="D893" s="180" t="s">
        <v>415</v>
      </c>
      <c r="E893" s="39">
        <v>43596</v>
      </c>
      <c r="F893" s="179">
        <v>0.64374999999999993</v>
      </c>
      <c r="G893" s="180">
        <v>2</v>
      </c>
      <c r="H893" s="180"/>
      <c r="I893" s="180"/>
      <c r="J893" s="180"/>
      <c r="K893" s="180"/>
      <c r="L893" s="180"/>
      <c r="M893" s="180"/>
      <c r="N893" s="180"/>
      <c r="O893" s="180"/>
      <c r="P893" s="180"/>
    </row>
    <row r="894" spans="1:16" x14ac:dyDescent="0.45">
      <c r="A894" s="180" t="s">
        <v>17</v>
      </c>
      <c r="B894" s="73">
        <v>1</v>
      </c>
      <c r="C894" s="73"/>
      <c r="D894" s="180" t="s">
        <v>415</v>
      </c>
      <c r="E894" s="39">
        <v>43596</v>
      </c>
      <c r="F894" s="179">
        <v>0.64374999999999993</v>
      </c>
      <c r="G894" s="180">
        <v>2</v>
      </c>
      <c r="H894" s="180"/>
      <c r="I894" s="180"/>
      <c r="J894" s="180"/>
      <c r="K894" s="180"/>
      <c r="L894" s="180"/>
      <c r="M894" s="180"/>
      <c r="N894" s="180"/>
      <c r="O894" s="180"/>
      <c r="P894" s="180"/>
    </row>
    <row r="895" spans="1:16" x14ac:dyDescent="0.45">
      <c r="A895" s="180" t="s">
        <v>17</v>
      </c>
      <c r="B895" s="73">
        <v>16</v>
      </c>
      <c r="C895" s="73"/>
      <c r="D895" s="180" t="s">
        <v>319</v>
      </c>
      <c r="E895" s="39">
        <v>43596</v>
      </c>
      <c r="F895" s="179">
        <v>0.37708333333333338</v>
      </c>
      <c r="G895" s="180">
        <v>2</v>
      </c>
      <c r="H895" s="180"/>
      <c r="I895" s="180"/>
      <c r="J895" s="180"/>
      <c r="K895" s="180"/>
      <c r="L895" s="180"/>
      <c r="M895" s="180"/>
      <c r="N895" s="180"/>
      <c r="O895" s="180"/>
      <c r="P895" s="180"/>
    </row>
    <row r="896" spans="1:16" x14ac:dyDescent="0.45">
      <c r="A896" s="180" t="s">
        <v>17</v>
      </c>
      <c r="B896" s="73">
        <v>30</v>
      </c>
      <c r="C896" s="73">
        <v>30</v>
      </c>
      <c r="D896" s="180" t="s">
        <v>319</v>
      </c>
      <c r="E896" s="39">
        <v>43596</v>
      </c>
      <c r="F896" s="179">
        <v>0.33333333333333331</v>
      </c>
      <c r="G896" s="180">
        <v>1</v>
      </c>
      <c r="H896" s="180" t="s">
        <v>328</v>
      </c>
      <c r="I896" s="180"/>
      <c r="J896" s="180"/>
      <c r="K896" s="180"/>
      <c r="L896" s="180"/>
      <c r="M896" s="180"/>
      <c r="N896" s="180"/>
      <c r="O896" s="180"/>
      <c r="P896" s="180"/>
    </row>
    <row r="897" spans="1:55" s="2" customFormat="1" x14ac:dyDescent="0.45">
      <c r="A897" s="180" t="s">
        <v>17</v>
      </c>
      <c r="B897" s="73">
        <v>16</v>
      </c>
      <c r="C897" s="73"/>
      <c r="D897" s="180" t="s">
        <v>319</v>
      </c>
      <c r="E897" s="39">
        <v>43596</v>
      </c>
      <c r="F897" s="179">
        <v>0.37708333333333338</v>
      </c>
      <c r="G897" s="180">
        <v>2</v>
      </c>
      <c r="H897" s="180"/>
      <c r="I897" s="180"/>
      <c r="J897" s="180"/>
      <c r="K897" s="180"/>
      <c r="L897" s="180"/>
      <c r="M897" s="180"/>
      <c r="N897" s="180"/>
      <c r="O897" s="180"/>
      <c r="P897" s="180"/>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row>
    <row r="898" spans="1:55" s="2" customFormat="1" x14ac:dyDescent="0.45">
      <c r="A898" s="180" t="s">
        <v>17</v>
      </c>
      <c r="B898" s="73">
        <v>15</v>
      </c>
      <c r="C898" s="73"/>
      <c r="D898" s="180" t="s">
        <v>291</v>
      </c>
      <c r="E898" s="39">
        <v>43596</v>
      </c>
      <c r="F898" s="179">
        <v>0.55208333333333337</v>
      </c>
      <c r="G898" s="180">
        <v>2</v>
      </c>
      <c r="H898" s="180"/>
      <c r="I898" s="180"/>
      <c r="J898" s="180"/>
      <c r="K898" s="180"/>
      <c r="L898" s="180"/>
      <c r="M898" s="180"/>
      <c r="N898" s="180"/>
      <c r="O898" s="180"/>
      <c r="P898" s="180"/>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row>
    <row r="899" spans="1:55" s="2" customFormat="1" x14ac:dyDescent="0.45">
      <c r="A899" s="180" t="s">
        <v>17</v>
      </c>
      <c r="B899" s="73">
        <v>30</v>
      </c>
      <c r="C899" s="73"/>
      <c r="D899" s="180" t="s">
        <v>291</v>
      </c>
      <c r="E899" s="39">
        <v>43596</v>
      </c>
      <c r="F899" s="179">
        <v>0.54166666666666663</v>
      </c>
      <c r="G899" s="180">
        <v>1</v>
      </c>
      <c r="H899" s="180" t="s">
        <v>292</v>
      </c>
      <c r="I899" s="180"/>
      <c r="J899" s="180"/>
      <c r="K899" s="180"/>
      <c r="L899" s="180"/>
      <c r="M899" s="180"/>
      <c r="N899" s="180"/>
      <c r="O899" s="180"/>
      <c r="P899" s="180"/>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row>
    <row r="900" spans="1:55" x14ac:dyDescent="0.45">
      <c r="A900" s="180" t="s">
        <v>17</v>
      </c>
      <c r="B900" s="73">
        <v>20</v>
      </c>
      <c r="C900" s="73"/>
      <c r="D900" s="180" t="s">
        <v>291</v>
      </c>
      <c r="E900" s="39">
        <v>43596</v>
      </c>
      <c r="F900" s="179">
        <v>0.54166666666666663</v>
      </c>
      <c r="G900" s="180">
        <v>20</v>
      </c>
      <c r="H900" s="180" t="s">
        <v>293</v>
      </c>
      <c r="I900" s="180"/>
      <c r="J900" s="180"/>
      <c r="K900" s="180"/>
      <c r="L900" s="180"/>
      <c r="M900" s="180"/>
      <c r="N900" s="180"/>
      <c r="O900" s="180"/>
      <c r="P900" s="180"/>
    </row>
    <row r="901" spans="1:55" x14ac:dyDescent="0.45">
      <c r="A901" s="180" t="s">
        <v>17</v>
      </c>
      <c r="B901" s="73">
        <v>12</v>
      </c>
      <c r="C901" s="73">
        <v>12</v>
      </c>
      <c r="D901" s="180" t="s">
        <v>288</v>
      </c>
      <c r="E901" s="39">
        <v>43596</v>
      </c>
      <c r="F901" s="179">
        <v>0.39861111111111108</v>
      </c>
      <c r="G901" s="180">
        <v>8</v>
      </c>
      <c r="H901" s="180"/>
      <c r="I901" s="180"/>
      <c r="J901" s="180"/>
      <c r="K901" s="180"/>
      <c r="L901" s="180"/>
      <c r="M901" s="180"/>
      <c r="N901" s="180"/>
      <c r="O901" s="180"/>
      <c r="P901" s="180"/>
    </row>
    <row r="902" spans="1:55" x14ac:dyDescent="0.45">
      <c r="A902" s="180" t="s">
        <v>17</v>
      </c>
      <c r="B902" s="73">
        <v>12</v>
      </c>
      <c r="C902" s="73"/>
      <c r="D902" s="180" t="s">
        <v>288</v>
      </c>
      <c r="E902" s="39">
        <v>43596</v>
      </c>
      <c r="F902" s="179">
        <v>0.39861111111111108</v>
      </c>
      <c r="G902" s="180">
        <v>8</v>
      </c>
      <c r="H902" s="180"/>
      <c r="I902" s="180"/>
      <c r="J902" s="180"/>
      <c r="K902" s="180"/>
      <c r="L902" s="180"/>
      <c r="M902" s="180"/>
      <c r="N902" s="180"/>
      <c r="O902" s="180"/>
      <c r="P902" s="180"/>
    </row>
    <row r="903" spans="1:55" s="2" customFormat="1" x14ac:dyDescent="0.45">
      <c r="A903" s="180" t="s">
        <v>17</v>
      </c>
      <c r="B903" s="73">
        <v>150</v>
      </c>
      <c r="C903" s="73">
        <v>150</v>
      </c>
      <c r="D903" s="180" t="s">
        <v>281</v>
      </c>
      <c r="E903" s="39">
        <v>43596</v>
      </c>
      <c r="F903" s="179">
        <v>0.47847222222222219</v>
      </c>
      <c r="G903" s="180">
        <v>12</v>
      </c>
      <c r="H903" s="180"/>
      <c r="I903" s="180"/>
      <c r="J903" s="180"/>
      <c r="K903" s="180"/>
      <c r="L903" s="180"/>
      <c r="M903" s="180"/>
      <c r="N903" s="180"/>
      <c r="O903" s="180"/>
      <c r="P903" s="180"/>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row>
    <row r="904" spans="1:55" x14ac:dyDescent="0.45">
      <c r="A904" s="180" t="s">
        <v>17</v>
      </c>
      <c r="B904" s="73">
        <v>150</v>
      </c>
      <c r="C904" s="73"/>
      <c r="D904" s="180" t="s">
        <v>281</v>
      </c>
      <c r="E904" s="39">
        <v>43596</v>
      </c>
      <c r="F904" s="179">
        <v>0.47847222222222219</v>
      </c>
      <c r="G904" s="180">
        <v>12</v>
      </c>
      <c r="H904" s="180"/>
      <c r="I904" s="180"/>
      <c r="J904" s="180"/>
      <c r="K904" s="180"/>
      <c r="L904" s="180"/>
      <c r="M904" s="180"/>
      <c r="N904" s="180"/>
      <c r="O904" s="180"/>
      <c r="P904" s="180"/>
    </row>
    <row r="905" spans="1:55" s="2" customFormat="1" x14ac:dyDescent="0.45">
      <c r="A905" s="180" t="s">
        <v>17</v>
      </c>
      <c r="B905" s="73">
        <v>150</v>
      </c>
      <c r="C905" s="73"/>
      <c r="D905" s="180" t="s">
        <v>281</v>
      </c>
      <c r="E905" s="39">
        <v>43596</v>
      </c>
      <c r="F905" s="179">
        <v>0.47847222222222219</v>
      </c>
      <c r="G905" s="180">
        <v>12</v>
      </c>
      <c r="H905" s="180"/>
      <c r="I905" s="180"/>
      <c r="J905" s="180"/>
      <c r="K905" s="180"/>
      <c r="L905" s="180"/>
      <c r="M905" s="180"/>
      <c r="N905" s="180"/>
      <c r="O905" s="180"/>
      <c r="P905" s="180"/>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row>
    <row r="906" spans="1:55" s="2" customFormat="1" x14ac:dyDescent="0.45">
      <c r="A906" s="180" t="s">
        <v>17</v>
      </c>
      <c r="B906" s="73">
        <v>150</v>
      </c>
      <c r="C906" s="73"/>
      <c r="D906" s="180" t="s">
        <v>281</v>
      </c>
      <c r="E906" s="39">
        <v>43596</v>
      </c>
      <c r="F906" s="179">
        <v>0.47847222222222219</v>
      </c>
      <c r="G906" s="180">
        <v>12</v>
      </c>
      <c r="H906" s="180"/>
      <c r="I906" s="180"/>
      <c r="J906" s="180"/>
      <c r="K906" s="180"/>
      <c r="L906" s="180"/>
      <c r="M906" s="180"/>
      <c r="N906" s="180"/>
      <c r="O906" s="180"/>
      <c r="P906" s="180"/>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row>
    <row r="907" spans="1:55" s="2" customFormat="1" x14ac:dyDescent="0.45">
      <c r="A907" s="180" t="s">
        <v>17</v>
      </c>
      <c r="B907" s="73">
        <v>150</v>
      </c>
      <c r="C907" s="73"/>
      <c r="D907" s="180" t="s">
        <v>281</v>
      </c>
      <c r="E907" s="39">
        <v>43596</v>
      </c>
      <c r="F907" s="179">
        <v>0.47847222222222219</v>
      </c>
      <c r="G907" s="180">
        <v>12</v>
      </c>
      <c r="H907" s="180"/>
      <c r="I907" s="180"/>
      <c r="J907" s="180"/>
      <c r="K907" s="180"/>
      <c r="L907" s="180"/>
      <c r="M907" s="180"/>
      <c r="N907" s="180"/>
      <c r="O907" s="180"/>
      <c r="P907" s="180"/>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row>
    <row r="908" spans="1:55" x14ac:dyDescent="0.45">
      <c r="A908" s="180" t="s">
        <v>17</v>
      </c>
      <c r="B908" s="73">
        <v>150</v>
      </c>
      <c r="C908" s="73"/>
      <c r="D908" s="180" t="s">
        <v>281</v>
      </c>
      <c r="E908" s="39">
        <v>43596</v>
      </c>
      <c r="F908" s="179">
        <v>0.47847222222222219</v>
      </c>
      <c r="G908" s="180">
        <v>12</v>
      </c>
      <c r="H908" s="180"/>
      <c r="I908" s="180"/>
      <c r="J908" s="180"/>
      <c r="K908" s="180"/>
      <c r="L908" s="180"/>
      <c r="M908" s="180"/>
      <c r="N908" s="180"/>
      <c r="O908" s="180"/>
      <c r="P908" s="180"/>
    </row>
    <row r="909" spans="1:55" s="2" customFormat="1" x14ac:dyDescent="0.45">
      <c r="A909" s="180" t="s">
        <v>17</v>
      </c>
      <c r="B909" s="73">
        <v>40</v>
      </c>
      <c r="C909" s="73"/>
      <c r="D909" s="180" t="s">
        <v>281</v>
      </c>
      <c r="E909" s="39">
        <v>43596</v>
      </c>
      <c r="F909" s="179">
        <v>0.46875</v>
      </c>
      <c r="G909" s="180">
        <v>1</v>
      </c>
      <c r="H909" s="180" t="s">
        <v>504</v>
      </c>
      <c r="I909" s="180"/>
      <c r="J909" s="180"/>
      <c r="K909" s="180"/>
      <c r="L909" s="180"/>
      <c r="M909" s="180"/>
      <c r="N909" s="180"/>
      <c r="O909" s="180"/>
      <c r="P909" s="180"/>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row>
    <row r="910" spans="1:55" s="2" customFormat="1" x14ac:dyDescent="0.45">
      <c r="A910" s="180" t="s">
        <v>17</v>
      </c>
      <c r="B910" s="73">
        <v>150</v>
      </c>
      <c r="C910" s="73"/>
      <c r="D910" s="180" t="s">
        <v>281</v>
      </c>
      <c r="E910" s="39">
        <v>43596</v>
      </c>
      <c r="F910" s="179">
        <v>0.47847222222222219</v>
      </c>
      <c r="G910" s="180">
        <v>12</v>
      </c>
      <c r="H910" s="180"/>
      <c r="I910" s="180"/>
      <c r="J910" s="180"/>
      <c r="K910" s="180"/>
      <c r="L910" s="180"/>
      <c r="M910" s="180"/>
      <c r="N910" s="180"/>
      <c r="O910" s="180"/>
      <c r="P910" s="18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row>
    <row r="911" spans="1:55" x14ac:dyDescent="0.45">
      <c r="A911" s="180" t="s">
        <v>17</v>
      </c>
      <c r="B911" s="73">
        <v>150</v>
      </c>
      <c r="C911" s="73"/>
      <c r="D911" s="180" t="s">
        <v>281</v>
      </c>
      <c r="E911" s="39">
        <v>43596</v>
      </c>
      <c r="F911" s="179">
        <v>0.47847222222222219</v>
      </c>
      <c r="G911" s="180">
        <v>12</v>
      </c>
      <c r="H911" s="180"/>
      <c r="I911" s="180"/>
      <c r="J911" s="180"/>
      <c r="K911" s="180"/>
      <c r="L911" s="180"/>
      <c r="M911" s="180"/>
      <c r="N911" s="180"/>
      <c r="O911" s="180"/>
      <c r="P911" s="180"/>
    </row>
    <row r="912" spans="1:55" s="2" customFormat="1" x14ac:dyDescent="0.45">
      <c r="A912" s="180" t="s">
        <v>17</v>
      </c>
      <c r="B912" s="73">
        <v>150</v>
      </c>
      <c r="C912" s="73"/>
      <c r="D912" s="180" t="s">
        <v>281</v>
      </c>
      <c r="E912" s="39">
        <v>43596</v>
      </c>
      <c r="F912" s="179">
        <v>0.47847222222222219</v>
      </c>
      <c r="G912" s="180">
        <v>12</v>
      </c>
      <c r="H912" s="180"/>
      <c r="I912" s="180"/>
      <c r="J912" s="180"/>
      <c r="K912" s="180"/>
      <c r="L912" s="180"/>
      <c r="M912" s="180"/>
      <c r="N912" s="180"/>
      <c r="O912" s="180"/>
      <c r="P912" s="180"/>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row>
    <row r="913" spans="1:55" s="2" customFormat="1" x14ac:dyDescent="0.45">
      <c r="A913" s="180" t="s">
        <v>17</v>
      </c>
      <c r="B913" s="73">
        <v>20</v>
      </c>
      <c r="C913" s="73"/>
      <c r="D913" s="180" t="s">
        <v>505</v>
      </c>
      <c r="E913" s="39">
        <v>43596</v>
      </c>
      <c r="F913" s="179">
        <v>0.50763888888888886</v>
      </c>
      <c r="G913" s="180">
        <v>1</v>
      </c>
      <c r="H913" s="180"/>
      <c r="I913" s="180"/>
      <c r="J913" s="180"/>
      <c r="K913" s="180"/>
      <c r="L913" s="180"/>
      <c r="M913" s="180"/>
      <c r="N913" s="180"/>
      <c r="O913" s="180"/>
      <c r="P913" s="180"/>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row>
    <row r="914" spans="1:55" x14ac:dyDescent="0.45">
      <c r="A914" s="180" t="s">
        <v>17</v>
      </c>
      <c r="B914" s="73">
        <v>10</v>
      </c>
      <c r="C914" s="73"/>
      <c r="D914" s="180" t="s">
        <v>330</v>
      </c>
      <c r="E914" s="39">
        <v>43596</v>
      </c>
      <c r="F914" s="179">
        <v>0.38125000000000003</v>
      </c>
      <c r="G914" s="180">
        <v>1</v>
      </c>
      <c r="H914" s="180" t="s">
        <v>506</v>
      </c>
      <c r="I914" s="180"/>
      <c r="J914" s="180"/>
      <c r="K914" s="180"/>
      <c r="L914" s="180"/>
      <c r="M914" s="180"/>
      <c r="N914" s="180"/>
      <c r="O914" s="180"/>
      <c r="P914" s="180"/>
    </row>
    <row r="915" spans="1:55" x14ac:dyDescent="0.45">
      <c r="A915" s="180" t="s">
        <v>17</v>
      </c>
      <c r="B915" s="73">
        <v>10</v>
      </c>
      <c r="C915" s="73"/>
      <c r="D915" s="180" t="s">
        <v>330</v>
      </c>
      <c r="E915" s="39">
        <v>43596</v>
      </c>
      <c r="F915" s="179">
        <v>0.4375</v>
      </c>
      <c r="G915" s="180">
        <v>1</v>
      </c>
      <c r="H915" s="180" t="s">
        <v>331</v>
      </c>
      <c r="I915" s="180"/>
      <c r="J915" s="180"/>
      <c r="K915" s="180"/>
      <c r="L915" s="180"/>
      <c r="M915" s="180"/>
      <c r="N915" s="180"/>
      <c r="O915" s="180"/>
      <c r="P915" s="180"/>
    </row>
    <row r="916" spans="1:55" x14ac:dyDescent="0.45">
      <c r="A916" s="180" t="s">
        <v>17</v>
      </c>
      <c r="B916" s="73">
        <v>2</v>
      </c>
      <c r="C916" s="73">
        <v>2</v>
      </c>
      <c r="D916" s="180" t="s">
        <v>271</v>
      </c>
      <c r="E916" s="39">
        <v>43597</v>
      </c>
      <c r="F916" s="179">
        <v>0.66666666666666663</v>
      </c>
      <c r="G916" s="180">
        <v>2</v>
      </c>
      <c r="H916" s="180"/>
      <c r="I916" s="180"/>
      <c r="J916" s="180"/>
      <c r="K916" s="180"/>
      <c r="L916" s="180"/>
      <c r="M916" s="180"/>
      <c r="N916" s="180"/>
      <c r="O916" s="180"/>
      <c r="P916" s="180"/>
    </row>
    <row r="917" spans="1:55" x14ac:dyDescent="0.45">
      <c r="A917" s="180" t="s">
        <v>17</v>
      </c>
      <c r="B917" s="73">
        <v>45</v>
      </c>
      <c r="C917" s="73">
        <v>45</v>
      </c>
      <c r="D917" s="180" t="s">
        <v>507</v>
      </c>
      <c r="E917" s="39">
        <v>43597</v>
      </c>
      <c r="F917" s="179">
        <v>0.46666666666666662</v>
      </c>
      <c r="G917" s="180">
        <v>1</v>
      </c>
      <c r="H917" s="180" t="s">
        <v>508</v>
      </c>
      <c r="I917" s="180"/>
      <c r="J917" s="180"/>
      <c r="K917" s="180"/>
      <c r="L917" s="180"/>
      <c r="M917" s="180"/>
      <c r="N917" s="180"/>
      <c r="O917" s="180"/>
      <c r="P917" s="180"/>
    </row>
    <row r="918" spans="1:55" x14ac:dyDescent="0.45">
      <c r="A918" s="180" t="s">
        <v>17</v>
      </c>
      <c r="B918" s="73">
        <v>10</v>
      </c>
      <c r="C918" s="73">
        <v>10</v>
      </c>
      <c r="D918" s="180" t="s">
        <v>281</v>
      </c>
      <c r="E918" s="39">
        <v>43597</v>
      </c>
      <c r="F918" s="179">
        <v>0.62083333333333335</v>
      </c>
      <c r="G918" s="180">
        <v>1</v>
      </c>
      <c r="H918" s="180"/>
      <c r="I918" s="180" t="s">
        <v>509</v>
      </c>
      <c r="J918" s="180"/>
      <c r="K918" s="180"/>
      <c r="L918" s="180"/>
      <c r="M918" s="180"/>
      <c r="N918" s="180"/>
      <c r="O918" s="180"/>
      <c r="P918" s="180"/>
    </row>
    <row r="919" spans="1:55" s="2" customFormat="1" x14ac:dyDescent="0.45">
      <c r="A919" s="180" t="s">
        <v>17</v>
      </c>
      <c r="B919" s="73">
        <v>6</v>
      </c>
      <c r="C919" s="73"/>
      <c r="D919" s="180" t="s">
        <v>281</v>
      </c>
      <c r="E919" s="39">
        <v>43597</v>
      </c>
      <c r="F919" s="179">
        <v>0.4694444444444445</v>
      </c>
      <c r="G919" s="180">
        <v>10</v>
      </c>
      <c r="H919" s="180" t="s">
        <v>510</v>
      </c>
      <c r="I919" s="180" t="s">
        <v>511</v>
      </c>
      <c r="J919" s="180"/>
      <c r="K919" s="180"/>
      <c r="L919" s="180"/>
      <c r="M919" s="180"/>
      <c r="N919" s="180"/>
      <c r="O919" s="180"/>
      <c r="P919" s="180"/>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row>
    <row r="920" spans="1:55" s="2" customFormat="1" x14ac:dyDescent="0.45">
      <c r="A920" s="180" t="s">
        <v>17</v>
      </c>
      <c r="B920" s="73">
        <v>10</v>
      </c>
      <c r="C920" s="73"/>
      <c r="D920" s="180" t="s">
        <v>281</v>
      </c>
      <c r="E920" s="39">
        <v>43597</v>
      </c>
      <c r="F920" s="179">
        <v>0.62083333333333335</v>
      </c>
      <c r="G920" s="180">
        <v>1</v>
      </c>
      <c r="H920" s="180"/>
      <c r="I920" s="180" t="s">
        <v>512</v>
      </c>
      <c r="J920" s="180"/>
      <c r="K920" s="180"/>
      <c r="L920" s="180"/>
      <c r="M920" s="180"/>
      <c r="N920" s="180"/>
      <c r="O920" s="180"/>
      <c r="P920" s="18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row>
    <row r="921" spans="1:55" x14ac:dyDescent="0.45">
      <c r="A921" s="180" t="s">
        <v>17</v>
      </c>
      <c r="B921" s="73">
        <v>10</v>
      </c>
      <c r="C921" s="73">
        <v>10</v>
      </c>
      <c r="D921" s="180" t="s">
        <v>281</v>
      </c>
      <c r="E921" s="39">
        <v>43598</v>
      </c>
      <c r="F921" s="179">
        <v>0.41666666666666669</v>
      </c>
      <c r="G921" s="180">
        <v>4</v>
      </c>
      <c r="H921" s="180" t="s">
        <v>513</v>
      </c>
      <c r="I921" s="180"/>
      <c r="J921" s="180"/>
      <c r="K921" s="180"/>
      <c r="L921" s="180"/>
      <c r="M921" s="180"/>
      <c r="N921" s="180"/>
      <c r="O921" s="180"/>
      <c r="P921" s="180"/>
    </row>
    <row r="922" spans="1:55" s="2" customFormat="1" x14ac:dyDescent="0.45">
      <c r="A922" s="180" t="s">
        <v>17</v>
      </c>
      <c r="B922" s="73">
        <v>4</v>
      </c>
      <c r="C922" s="73"/>
      <c r="D922" s="180" t="s">
        <v>514</v>
      </c>
      <c r="E922" s="39">
        <v>43600</v>
      </c>
      <c r="F922" s="179">
        <v>0.53194444444444444</v>
      </c>
      <c r="G922" s="180">
        <v>1</v>
      </c>
      <c r="H922" s="180"/>
      <c r="I922" s="180"/>
      <c r="J922" s="180"/>
      <c r="K922" s="180"/>
      <c r="L922" s="180"/>
      <c r="M922" s="180"/>
      <c r="N922" s="180"/>
      <c r="O922" s="180"/>
      <c r="P922" s="180"/>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row>
    <row r="923" spans="1:55" x14ac:dyDescent="0.45">
      <c r="A923" s="180" t="s">
        <v>17</v>
      </c>
      <c r="B923" s="73">
        <v>12</v>
      </c>
      <c r="C923" s="73">
        <v>12</v>
      </c>
      <c r="D923" s="180" t="s">
        <v>311</v>
      </c>
      <c r="E923" s="39">
        <v>43603</v>
      </c>
      <c r="F923" s="179">
        <v>0.70833333333333337</v>
      </c>
      <c r="G923" s="180">
        <v>11</v>
      </c>
      <c r="H923" s="180" t="s">
        <v>408</v>
      </c>
      <c r="I923" s="180"/>
      <c r="J923" s="180"/>
      <c r="K923" s="180"/>
      <c r="L923" s="180"/>
      <c r="M923" s="180"/>
      <c r="N923" s="180"/>
      <c r="O923" s="180"/>
      <c r="P923" s="180"/>
    </row>
    <row r="924" spans="1:55" s="2" customFormat="1" x14ac:dyDescent="0.45">
      <c r="A924" s="180" t="s">
        <v>17</v>
      </c>
      <c r="B924" s="73">
        <v>500</v>
      </c>
      <c r="C924" s="73">
        <v>500</v>
      </c>
      <c r="D924" s="180" t="s">
        <v>278</v>
      </c>
      <c r="E924" s="39">
        <v>43603</v>
      </c>
      <c r="F924" s="179">
        <v>0.58333333333333337</v>
      </c>
      <c r="G924" s="180">
        <v>1</v>
      </c>
      <c r="H924" s="180" t="s">
        <v>272</v>
      </c>
      <c r="I924" s="180"/>
      <c r="J924" s="180"/>
      <c r="K924" s="180"/>
      <c r="L924" s="180"/>
      <c r="M924" s="180"/>
      <c r="N924" s="180"/>
      <c r="O924" s="180"/>
      <c r="P924" s="180"/>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row>
    <row r="925" spans="1:55" x14ac:dyDescent="0.45">
      <c r="A925" s="180" t="s">
        <v>17</v>
      </c>
      <c r="B925" s="73">
        <v>20</v>
      </c>
      <c r="C925" s="73">
        <v>20</v>
      </c>
      <c r="D925" s="180" t="s">
        <v>371</v>
      </c>
      <c r="E925" s="39">
        <v>43604</v>
      </c>
      <c r="F925" s="179">
        <v>0.73541666666666661</v>
      </c>
      <c r="G925" s="180">
        <v>1</v>
      </c>
      <c r="H925" s="180"/>
      <c r="I925" s="180"/>
      <c r="J925" s="180"/>
      <c r="K925" s="180"/>
      <c r="L925" s="180"/>
      <c r="M925" s="180"/>
      <c r="N925" s="180"/>
      <c r="O925" s="180"/>
      <c r="P925" s="180"/>
    </row>
    <row r="926" spans="1:55" x14ac:dyDescent="0.45">
      <c r="A926" s="180" t="s">
        <v>17</v>
      </c>
      <c r="B926" s="73">
        <v>25</v>
      </c>
      <c r="C926" s="73">
        <v>25</v>
      </c>
      <c r="D926" s="180" t="s">
        <v>302</v>
      </c>
      <c r="E926" s="39">
        <v>43605</v>
      </c>
      <c r="F926" s="179">
        <v>0.65277777777777779</v>
      </c>
      <c r="G926" s="180">
        <v>1</v>
      </c>
      <c r="H926" s="180"/>
      <c r="I926" s="180" t="s">
        <v>515</v>
      </c>
      <c r="J926" s="180"/>
      <c r="K926" s="180"/>
      <c r="L926" s="180"/>
      <c r="M926" s="180"/>
      <c r="N926" s="180"/>
      <c r="O926" s="180"/>
      <c r="P926" s="180"/>
    </row>
    <row r="927" spans="1:55" x14ac:dyDescent="0.45">
      <c r="A927" s="180" t="s">
        <v>17</v>
      </c>
      <c r="B927" s="73">
        <v>1</v>
      </c>
      <c r="C927" s="73">
        <v>1</v>
      </c>
      <c r="D927" s="180" t="s">
        <v>319</v>
      </c>
      <c r="E927" s="39">
        <v>43606</v>
      </c>
      <c r="F927" s="179">
        <v>0.33333333333333331</v>
      </c>
      <c r="G927" s="180">
        <v>6</v>
      </c>
      <c r="H927" s="180"/>
      <c r="I927" s="180"/>
      <c r="J927" s="180"/>
      <c r="K927" s="180"/>
      <c r="L927" s="180"/>
      <c r="M927" s="180"/>
      <c r="N927" s="180"/>
      <c r="O927" s="180"/>
      <c r="P927" s="180"/>
    </row>
    <row r="928" spans="1:55" x14ac:dyDescent="0.45">
      <c r="A928" s="180" t="s">
        <v>17</v>
      </c>
      <c r="B928" s="73">
        <v>22</v>
      </c>
      <c r="C928" s="73"/>
      <c r="D928" s="180" t="s">
        <v>516</v>
      </c>
      <c r="E928" s="39">
        <v>43607</v>
      </c>
      <c r="F928" s="179">
        <v>0.61875000000000002</v>
      </c>
      <c r="G928" s="180">
        <v>2</v>
      </c>
      <c r="H928" s="180"/>
      <c r="I928" s="180" t="s">
        <v>517</v>
      </c>
      <c r="J928" s="180"/>
      <c r="K928" s="180"/>
      <c r="L928" s="180"/>
      <c r="M928" s="180"/>
      <c r="N928" s="180"/>
      <c r="O928" s="180"/>
      <c r="P928" s="180"/>
    </row>
    <row r="929" spans="1:55" x14ac:dyDescent="0.45">
      <c r="A929" s="180" t="s">
        <v>17</v>
      </c>
      <c r="B929" s="73">
        <v>1000</v>
      </c>
      <c r="C929" s="73">
        <v>1000</v>
      </c>
      <c r="D929" s="180" t="s">
        <v>281</v>
      </c>
      <c r="E929" s="39">
        <v>43608</v>
      </c>
      <c r="F929" s="179">
        <v>0.41666666666666669</v>
      </c>
      <c r="G929" s="180">
        <v>1</v>
      </c>
      <c r="H929" s="180" t="s">
        <v>303</v>
      </c>
      <c r="I929" s="180"/>
      <c r="J929" s="180"/>
      <c r="K929" s="180"/>
      <c r="L929" s="180"/>
      <c r="M929" s="180"/>
      <c r="N929" s="180"/>
      <c r="O929" s="180"/>
      <c r="P929" s="180"/>
    </row>
    <row r="930" spans="1:55" x14ac:dyDescent="0.45">
      <c r="A930" s="180" t="s">
        <v>17</v>
      </c>
      <c r="B930" s="73">
        <v>1</v>
      </c>
      <c r="C930" s="73">
        <v>1</v>
      </c>
      <c r="D930" s="180" t="s">
        <v>271</v>
      </c>
      <c r="E930" s="39">
        <v>43608</v>
      </c>
      <c r="F930" s="179">
        <v>0.60416666666666663</v>
      </c>
      <c r="G930" s="180">
        <v>2</v>
      </c>
      <c r="H930" s="180"/>
      <c r="I930" s="180"/>
      <c r="J930" s="180"/>
      <c r="K930" s="180"/>
      <c r="L930" s="180"/>
      <c r="M930" s="180"/>
      <c r="N930" s="180"/>
      <c r="O930" s="180"/>
      <c r="P930" s="180"/>
    </row>
    <row r="931" spans="1:55" x14ac:dyDescent="0.45">
      <c r="A931" s="180" t="s">
        <v>17</v>
      </c>
      <c r="B931" s="73">
        <v>3</v>
      </c>
      <c r="C931" s="73">
        <v>3</v>
      </c>
      <c r="D931" s="180" t="s">
        <v>277</v>
      </c>
      <c r="E931" s="39">
        <v>43611</v>
      </c>
      <c r="F931" s="179">
        <v>0.83680555555555547</v>
      </c>
      <c r="G931" s="180">
        <v>1</v>
      </c>
      <c r="H931" s="180"/>
      <c r="I931" s="180"/>
      <c r="J931" s="180"/>
      <c r="K931" s="180"/>
      <c r="L931" s="180"/>
      <c r="M931" s="180"/>
      <c r="N931" s="180"/>
      <c r="O931" s="180"/>
      <c r="P931" s="180"/>
    </row>
    <row r="932" spans="1:55" x14ac:dyDescent="0.45">
      <c r="A932" s="1" t="s">
        <v>273</v>
      </c>
      <c r="B932" s="73"/>
      <c r="C932" s="73">
        <f>SUM(C858:C931)</f>
        <v>3356</v>
      </c>
      <c r="D932" s="180"/>
      <c r="E932" s="39"/>
      <c r="F932" s="179"/>
      <c r="G932" s="180"/>
      <c r="H932" s="180"/>
      <c r="I932" s="180"/>
      <c r="J932" s="180"/>
      <c r="K932" s="180"/>
      <c r="L932" s="180"/>
      <c r="M932" s="180"/>
      <c r="N932" s="180"/>
      <c r="O932" s="180"/>
      <c r="P932" s="180"/>
    </row>
    <row r="933" spans="1:55" x14ac:dyDescent="0.45">
      <c r="A933" s="180"/>
      <c r="B933" s="73"/>
      <c r="C933" s="73"/>
      <c r="D933" s="180"/>
      <c r="E933" s="39"/>
      <c r="F933" s="179"/>
      <c r="G933" s="180"/>
      <c r="H933" s="180"/>
      <c r="I933" s="180"/>
      <c r="J933" s="180"/>
      <c r="K933" s="180"/>
      <c r="L933" s="180"/>
      <c r="M933" s="180"/>
      <c r="N933" s="180"/>
      <c r="O933" s="180"/>
      <c r="P933" s="180"/>
    </row>
    <row r="934" spans="1:55" x14ac:dyDescent="0.45">
      <c r="A934" s="180" t="s">
        <v>40</v>
      </c>
      <c r="B934" s="73">
        <v>55</v>
      </c>
      <c r="C934" s="73">
        <v>55</v>
      </c>
      <c r="D934" s="180" t="s">
        <v>306</v>
      </c>
      <c r="E934" s="39">
        <v>43556</v>
      </c>
      <c r="F934" s="179">
        <v>0.46875</v>
      </c>
      <c r="G934" s="180">
        <v>1</v>
      </c>
      <c r="H934" s="180"/>
      <c r="I934" s="180"/>
      <c r="J934" s="180"/>
      <c r="K934" s="180"/>
      <c r="L934" s="180"/>
      <c r="M934" s="180"/>
      <c r="N934" s="180"/>
      <c r="O934" s="180"/>
      <c r="P934" s="180"/>
    </row>
    <row r="935" spans="1:55" x14ac:dyDescent="0.45">
      <c r="A935" s="180" t="s">
        <v>40</v>
      </c>
      <c r="B935" s="73">
        <v>36</v>
      </c>
      <c r="C935" s="73">
        <v>36</v>
      </c>
      <c r="D935" s="180" t="s">
        <v>518</v>
      </c>
      <c r="E935" s="39">
        <v>43558</v>
      </c>
      <c r="F935" s="179">
        <v>0.69930555555555562</v>
      </c>
      <c r="G935" s="180">
        <v>1</v>
      </c>
      <c r="H935" s="180"/>
      <c r="I935" s="180"/>
      <c r="J935" s="180"/>
      <c r="K935" s="180"/>
      <c r="L935" s="180"/>
      <c r="M935" s="180"/>
      <c r="N935" s="180"/>
      <c r="O935" s="180"/>
      <c r="P935" s="180"/>
    </row>
    <row r="936" spans="1:55" x14ac:dyDescent="0.45">
      <c r="A936" s="180" t="s">
        <v>40</v>
      </c>
      <c r="B936" s="73">
        <v>3</v>
      </c>
      <c r="C936" s="73">
        <v>3</v>
      </c>
      <c r="D936" s="180" t="s">
        <v>306</v>
      </c>
      <c r="E936" s="39">
        <v>43566</v>
      </c>
      <c r="F936" s="179">
        <v>0.33333333333333331</v>
      </c>
      <c r="G936" s="180">
        <v>20</v>
      </c>
      <c r="H936" s="180" t="s">
        <v>307</v>
      </c>
      <c r="I936" s="180"/>
      <c r="J936" s="180"/>
      <c r="K936" s="180"/>
      <c r="L936" s="180"/>
      <c r="M936" s="180"/>
      <c r="N936" s="180"/>
      <c r="O936" s="180"/>
      <c r="P936" s="180"/>
    </row>
    <row r="937" spans="1:55" x14ac:dyDescent="0.45">
      <c r="A937" s="180" t="s">
        <v>40</v>
      </c>
      <c r="B937" s="73">
        <v>1</v>
      </c>
      <c r="C937" s="73">
        <v>1</v>
      </c>
      <c r="D937" s="180" t="s">
        <v>311</v>
      </c>
      <c r="E937" s="39">
        <v>43568</v>
      </c>
      <c r="F937" s="179">
        <v>0.375</v>
      </c>
      <c r="G937" s="180">
        <v>7</v>
      </c>
      <c r="H937" s="180" t="s">
        <v>341</v>
      </c>
      <c r="I937" s="180"/>
      <c r="J937" s="180"/>
      <c r="K937" s="180"/>
      <c r="L937" s="180"/>
      <c r="M937" s="180"/>
      <c r="N937" s="180"/>
      <c r="O937" s="180"/>
      <c r="P937" s="180"/>
    </row>
    <row r="938" spans="1:55" s="2" customFormat="1" x14ac:dyDescent="0.45">
      <c r="A938" s="180" t="s">
        <v>40</v>
      </c>
      <c r="B938" s="73">
        <v>1</v>
      </c>
      <c r="C938" s="73">
        <v>1</v>
      </c>
      <c r="D938" s="180" t="s">
        <v>311</v>
      </c>
      <c r="E938" s="39">
        <v>43578</v>
      </c>
      <c r="F938" s="179">
        <v>0.8125</v>
      </c>
      <c r="G938" s="180">
        <v>9</v>
      </c>
      <c r="H938" s="180" t="s">
        <v>346</v>
      </c>
      <c r="I938" s="180"/>
      <c r="J938" s="180"/>
      <c r="K938" s="180"/>
      <c r="L938" s="180"/>
      <c r="M938" s="180"/>
      <c r="N938" s="180"/>
      <c r="O938" s="180"/>
      <c r="P938" s="180"/>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row>
    <row r="939" spans="1:55" x14ac:dyDescent="0.45">
      <c r="A939" s="180" t="s">
        <v>40</v>
      </c>
      <c r="B939" s="73">
        <v>1</v>
      </c>
      <c r="C939" s="73">
        <v>1</v>
      </c>
      <c r="D939" s="180" t="s">
        <v>338</v>
      </c>
      <c r="E939" s="39">
        <v>43582</v>
      </c>
      <c r="F939" s="179">
        <v>0.39444444444444443</v>
      </c>
      <c r="G939" s="180">
        <v>1</v>
      </c>
      <c r="H939" s="180"/>
      <c r="I939" s="180"/>
      <c r="J939" s="180"/>
      <c r="K939" s="180"/>
      <c r="L939" s="180"/>
      <c r="M939" s="180"/>
      <c r="N939" s="180"/>
      <c r="O939" s="180"/>
      <c r="P939" s="180"/>
    </row>
    <row r="940" spans="1:55" x14ac:dyDescent="0.45">
      <c r="A940" s="180" t="s">
        <v>40</v>
      </c>
      <c r="B940" s="73">
        <v>1</v>
      </c>
      <c r="C940" s="73">
        <v>1</v>
      </c>
      <c r="D940" s="180" t="s">
        <v>72</v>
      </c>
      <c r="E940" s="39">
        <v>43595</v>
      </c>
      <c r="F940" s="179">
        <v>0.625</v>
      </c>
      <c r="G940" s="180">
        <v>2</v>
      </c>
      <c r="H940" s="180" t="s">
        <v>519</v>
      </c>
      <c r="I940" s="180"/>
      <c r="J940" s="180"/>
      <c r="K940" s="180"/>
      <c r="L940" s="180"/>
      <c r="M940" s="180"/>
      <c r="N940" s="180"/>
      <c r="O940" s="180"/>
      <c r="P940" s="180"/>
    </row>
    <row r="941" spans="1:55" x14ac:dyDescent="0.45">
      <c r="A941" s="180" t="s">
        <v>40</v>
      </c>
      <c r="B941" s="73">
        <v>1</v>
      </c>
      <c r="C941" s="73"/>
      <c r="D941" s="180" t="s">
        <v>271</v>
      </c>
      <c r="E941" s="39">
        <v>43596</v>
      </c>
      <c r="F941" s="179">
        <v>0.78125</v>
      </c>
      <c r="G941" s="180">
        <v>4</v>
      </c>
      <c r="H941" s="180"/>
      <c r="I941" s="180"/>
      <c r="J941" s="180"/>
      <c r="K941" s="180"/>
      <c r="L941" s="180"/>
      <c r="M941" s="180"/>
      <c r="N941" s="180"/>
      <c r="O941" s="180"/>
      <c r="P941" s="180"/>
    </row>
    <row r="942" spans="1:55" x14ac:dyDescent="0.45">
      <c r="A942" s="180" t="s">
        <v>40</v>
      </c>
      <c r="B942" s="73">
        <v>2</v>
      </c>
      <c r="C942" s="73">
        <v>2</v>
      </c>
      <c r="D942" s="180" t="s">
        <v>271</v>
      </c>
      <c r="E942" s="39">
        <v>43596</v>
      </c>
      <c r="F942" s="179">
        <v>0.80486111111111114</v>
      </c>
      <c r="G942" s="180">
        <v>1</v>
      </c>
      <c r="H942" s="180"/>
      <c r="I942" s="180"/>
      <c r="J942" s="180"/>
      <c r="K942" s="180"/>
      <c r="L942" s="180"/>
      <c r="M942" s="180"/>
      <c r="N942" s="180"/>
      <c r="O942" s="180"/>
      <c r="P942" s="180"/>
    </row>
    <row r="943" spans="1:55" x14ac:dyDescent="0.45">
      <c r="A943" s="180" t="s">
        <v>40</v>
      </c>
      <c r="B943" s="73">
        <v>1</v>
      </c>
      <c r="C943" s="73">
        <v>1</v>
      </c>
      <c r="D943" s="180" t="s">
        <v>319</v>
      </c>
      <c r="E943" s="39">
        <v>43596</v>
      </c>
      <c r="F943" s="179">
        <v>0.33333333333333331</v>
      </c>
      <c r="G943" s="180">
        <v>1</v>
      </c>
      <c r="H943" s="180" t="s">
        <v>328</v>
      </c>
      <c r="I943" s="180"/>
      <c r="J943" s="180"/>
      <c r="K943" s="180"/>
      <c r="L943" s="180"/>
      <c r="M943" s="180"/>
      <c r="N943" s="180"/>
      <c r="O943" s="180"/>
      <c r="P943" s="180"/>
    </row>
    <row r="944" spans="1:55" x14ac:dyDescent="0.45">
      <c r="A944" s="180" t="s">
        <v>40</v>
      </c>
      <c r="B944" s="73">
        <v>1</v>
      </c>
      <c r="C944" s="73">
        <v>1</v>
      </c>
      <c r="D944" s="180" t="s">
        <v>281</v>
      </c>
      <c r="E944" s="39">
        <v>43603</v>
      </c>
      <c r="F944" s="179">
        <v>0.58333333333333337</v>
      </c>
      <c r="G944" s="180">
        <v>1</v>
      </c>
      <c r="H944" s="180" t="s">
        <v>300</v>
      </c>
      <c r="I944" s="180"/>
      <c r="J944" s="180"/>
      <c r="K944" s="180"/>
      <c r="L944" s="180"/>
      <c r="M944" s="180"/>
      <c r="N944" s="180"/>
      <c r="O944" s="180"/>
      <c r="P944" s="180"/>
    </row>
    <row r="945" spans="1:55" x14ac:dyDescent="0.45">
      <c r="A945" s="1" t="s">
        <v>273</v>
      </c>
      <c r="B945" s="73"/>
      <c r="C945" s="73">
        <f>SUM(C934:C944)</f>
        <v>102</v>
      </c>
      <c r="D945" s="180"/>
      <c r="E945" s="39"/>
      <c r="F945" s="179"/>
      <c r="G945" s="180"/>
      <c r="H945" s="180"/>
      <c r="I945" s="180"/>
      <c r="J945" s="180"/>
      <c r="K945" s="180"/>
      <c r="L945" s="180"/>
      <c r="M945" s="180"/>
      <c r="N945" s="180"/>
      <c r="O945" s="180"/>
      <c r="P945" s="180"/>
    </row>
    <row r="946" spans="1:55" x14ac:dyDescent="0.45">
      <c r="A946" s="180"/>
      <c r="B946" s="73"/>
      <c r="C946" s="73"/>
      <c r="D946" s="180"/>
      <c r="E946" s="39"/>
      <c r="F946" s="179"/>
      <c r="G946" s="180"/>
      <c r="H946" s="180"/>
      <c r="I946" s="180"/>
      <c r="J946" s="180"/>
      <c r="K946" s="180"/>
      <c r="L946" s="180"/>
      <c r="M946" s="180"/>
      <c r="N946" s="180"/>
      <c r="O946" s="180"/>
      <c r="P946" s="180"/>
    </row>
    <row r="947" spans="1:55" x14ac:dyDescent="0.45">
      <c r="A947" s="180" t="s">
        <v>44</v>
      </c>
      <c r="B947" s="73">
        <v>1</v>
      </c>
      <c r="C947" s="73"/>
      <c r="D947" s="180" t="s">
        <v>317</v>
      </c>
      <c r="E947" s="39">
        <v>43578</v>
      </c>
      <c r="F947" s="179">
        <v>0.81874999999999998</v>
      </c>
      <c r="G947" s="180">
        <v>5</v>
      </c>
      <c r="H947" s="180"/>
      <c r="I947" s="180"/>
      <c r="J947" s="180"/>
      <c r="K947" s="180"/>
      <c r="L947" s="180"/>
      <c r="M947" s="180"/>
      <c r="N947" s="180"/>
      <c r="O947" s="180"/>
      <c r="P947" s="180"/>
    </row>
    <row r="948" spans="1:55" x14ac:dyDescent="0.45">
      <c r="A948" s="180" t="s">
        <v>44</v>
      </c>
      <c r="B948" s="73">
        <v>1</v>
      </c>
      <c r="C948" s="73">
        <v>1</v>
      </c>
      <c r="D948" s="180" t="s">
        <v>332</v>
      </c>
      <c r="E948" s="39">
        <v>43578</v>
      </c>
      <c r="F948" s="179">
        <v>0.8125</v>
      </c>
      <c r="G948" s="180">
        <v>4</v>
      </c>
      <c r="H948" s="180" t="s">
        <v>348</v>
      </c>
      <c r="I948" s="180"/>
      <c r="J948" s="180"/>
      <c r="K948" s="180"/>
      <c r="L948" s="180"/>
      <c r="M948" s="180"/>
      <c r="N948" s="180"/>
      <c r="O948" s="180"/>
      <c r="P948" s="180"/>
    </row>
    <row r="949" spans="1:55" x14ac:dyDescent="0.45">
      <c r="A949" s="180" t="s">
        <v>44</v>
      </c>
      <c r="B949" s="73">
        <v>1</v>
      </c>
      <c r="C949" s="73"/>
      <c r="D949" s="180" t="s">
        <v>332</v>
      </c>
      <c r="E949" s="39">
        <v>43578</v>
      </c>
      <c r="F949" s="179">
        <v>0.8125</v>
      </c>
      <c r="G949" s="180">
        <v>4</v>
      </c>
      <c r="H949" s="180" t="s">
        <v>348</v>
      </c>
      <c r="I949" s="180"/>
      <c r="J949" s="180"/>
      <c r="K949" s="180"/>
      <c r="L949" s="180"/>
      <c r="M949" s="180"/>
      <c r="N949" s="180"/>
      <c r="O949" s="180"/>
      <c r="P949" s="180"/>
    </row>
    <row r="950" spans="1:55" x14ac:dyDescent="0.45">
      <c r="A950" s="180" t="s">
        <v>44</v>
      </c>
      <c r="B950" s="73">
        <v>1</v>
      </c>
      <c r="C950" s="73">
        <v>1</v>
      </c>
      <c r="D950" s="180" t="s">
        <v>311</v>
      </c>
      <c r="E950" s="39">
        <v>43578</v>
      </c>
      <c r="F950" s="179">
        <v>0.8125</v>
      </c>
      <c r="G950" s="180">
        <v>9</v>
      </c>
      <c r="H950" s="180" t="s">
        <v>346</v>
      </c>
      <c r="I950" s="180"/>
      <c r="J950" s="180"/>
      <c r="K950" s="180"/>
      <c r="L950" s="180"/>
      <c r="M950" s="180"/>
      <c r="N950" s="180"/>
      <c r="O950" s="180"/>
      <c r="P950" s="180"/>
    </row>
    <row r="951" spans="1:55" x14ac:dyDescent="0.45">
      <c r="A951" s="180" t="s">
        <v>44</v>
      </c>
      <c r="B951" s="73">
        <v>1</v>
      </c>
      <c r="C951" s="73">
        <v>1</v>
      </c>
      <c r="D951" s="180" t="s">
        <v>311</v>
      </c>
      <c r="E951" s="39">
        <v>43593</v>
      </c>
      <c r="F951" s="179">
        <v>0.80208333333333337</v>
      </c>
      <c r="G951" s="180">
        <v>7</v>
      </c>
      <c r="H951" s="180" t="s">
        <v>280</v>
      </c>
      <c r="I951" s="180" t="s">
        <v>520</v>
      </c>
      <c r="J951" s="180"/>
      <c r="K951" s="180"/>
      <c r="L951" s="180"/>
      <c r="M951" s="180"/>
      <c r="N951" s="180"/>
      <c r="O951" s="180"/>
      <c r="P951" s="180"/>
    </row>
    <row r="952" spans="1:55" x14ac:dyDescent="0.45">
      <c r="A952" s="180" t="s">
        <v>44</v>
      </c>
      <c r="B952" s="73">
        <v>6</v>
      </c>
      <c r="C952" s="73">
        <v>6</v>
      </c>
      <c r="D952" s="180" t="s">
        <v>72</v>
      </c>
      <c r="E952" s="39">
        <v>43596</v>
      </c>
      <c r="F952" s="179">
        <v>0.33333333333333331</v>
      </c>
      <c r="G952" s="180">
        <v>2</v>
      </c>
      <c r="H952" s="180" t="s">
        <v>322</v>
      </c>
      <c r="I952" s="180"/>
      <c r="J952" s="180"/>
      <c r="K952" s="180"/>
      <c r="L952" s="180"/>
      <c r="M952" s="180"/>
      <c r="N952" s="180"/>
      <c r="O952" s="180"/>
      <c r="P952" s="180"/>
    </row>
    <row r="953" spans="1:55" x14ac:dyDescent="0.45">
      <c r="A953" s="180" t="s">
        <v>44</v>
      </c>
      <c r="B953" s="73">
        <v>2</v>
      </c>
      <c r="C953" s="73">
        <v>2</v>
      </c>
      <c r="D953" s="180" t="s">
        <v>311</v>
      </c>
      <c r="E953" s="39">
        <v>43608</v>
      </c>
      <c r="F953" s="179">
        <v>0.8125</v>
      </c>
      <c r="G953" s="180">
        <v>9</v>
      </c>
      <c r="H953" s="180" t="s">
        <v>303</v>
      </c>
      <c r="I953" s="180"/>
      <c r="J953" s="180"/>
      <c r="K953" s="180"/>
      <c r="L953" s="180"/>
      <c r="M953" s="180"/>
      <c r="N953" s="180"/>
      <c r="O953" s="180"/>
      <c r="P953" s="180"/>
    </row>
    <row r="954" spans="1:55" s="2" customFormat="1" x14ac:dyDescent="0.45">
      <c r="A954" s="1" t="s">
        <v>273</v>
      </c>
      <c r="B954" s="73"/>
      <c r="C954" s="73">
        <f>SUM(C947:C953)</f>
        <v>11</v>
      </c>
      <c r="D954" s="180"/>
      <c r="E954" s="39"/>
      <c r="F954" s="179"/>
      <c r="G954" s="180"/>
      <c r="H954" s="180"/>
      <c r="I954" s="180"/>
      <c r="J954" s="180"/>
      <c r="K954" s="180"/>
      <c r="L954" s="180"/>
      <c r="M954" s="180"/>
      <c r="N954" s="180"/>
      <c r="O954" s="180"/>
      <c r="P954" s="180"/>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row>
    <row r="955" spans="1:55" s="2" customFormat="1" x14ac:dyDescent="0.45">
      <c r="A955" s="180"/>
      <c r="B955" s="73"/>
      <c r="C955" s="73"/>
      <c r="D955" s="180"/>
      <c r="E955" s="39"/>
      <c r="F955" s="179"/>
      <c r="G955" s="180"/>
      <c r="H955" s="180"/>
      <c r="I955" s="180"/>
      <c r="J955" s="180"/>
      <c r="K955" s="180"/>
      <c r="L955" s="180"/>
      <c r="M955" s="180"/>
      <c r="N955" s="180"/>
      <c r="O955" s="180"/>
      <c r="P955" s="180"/>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row>
    <row r="956" spans="1:55" x14ac:dyDescent="0.45">
      <c r="A956" s="180" t="s">
        <v>46</v>
      </c>
      <c r="B956" s="73">
        <v>1</v>
      </c>
      <c r="C956" s="73">
        <v>1</v>
      </c>
      <c r="D956" s="180" t="s">
        <v>311</v>
      </c>
      <c r="E956" s="39">
        <v>43603</v>
      </c>
      <c r="F956" s="179">
        <v>0.70833333333333337</v>
      </c>
      <c r="G956" s="180">
        <v>11</v>
      </c>
      <c r="H956" s="180" t="s">
        <v>408</v>
      </c>
      <c r="I956" s="180"/>
      <c r="J956" s="180"/>
      <c r="K956" s="180"/>
      <c r="L956" s="180"/>
      <c r="M956" s="180"/>
      <c r="N956" s="180"/>
      <c r="O956" s="180"/>
      <c r="P956" s="180"/>
    </row>
    <row r="957" spans="1:55" x14ac:dyDescent="0.45">
      <c r="A957" s="1" t="s">
        <v>273</v>
      </c>
      <c r="B957" s="73"/>
      <c r="C957" s="73">
        <v>1</v>
      </c>
      <c r="D957" s="180"/>
      <c r="E957" s="39"/>
      <c r="F957" s="179"/>
      <c r="G957" s="180"/>
      <c r="H957" s="180"/>
      <c r="I957" s="180"/>
      <c r="J957" s="180"/>
      <c r="K957" s="180"/>
      <c r="L957" s="180"/>
      <c r="M957" s="180"/>
      <c r="N957" s="180"/>
      <c r="O957" s="180"/>
      <c r="P957" s="180"/>
    </row>
    <row r="958" spans="1:55" s="2" customFormat="1" x14ac:dyDescent="0.45">
      <c r="A958" s="180"/>
      <c r="B958" s="73"/>
      <c r="C958" s="73"/>
      <c r="D958" s="180"/>
      <c r="E958" s="39"/>
      <c r="F958" s="179"/>
      <c r="G958" s="180"/>
      <c r="H958" s="180"/>
      <c r="I958" s="180"/>
      <c r="J958" s="180"/>
      <c r="K958" s="180"/>
      <c r="L958" s="180"/>
      <c r="M958" s="180"/>
      <c r="N958" s="180"/>
      <c r="O958" s="180"/>
      <c r="P958" s="180"/>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row>
    <row r="959" spans="1:55" x14ac:dyDescent="0.45">
      <c r="A959" s="180" t="s">
        <v>1</v>
      </c>
      <c r="B959" s="73">
        <v>2</v>
      </c>
      <c r="C959" s="73">
        <v>2</v>
      </c>
      <c r="D959" s="180" t="s">
        <v>128</v>
      </c>
      <c r="E959" s="39">
        <v>43587</v>
      </c>
      <c r="F959" s="179">
        <v>0.5444444444444444</v>
      </c>
      <c r="G959" s="180">
        <v>1</v>
      </c>
      <c r="H959" s="180" t="s">
        <v>34</v>
      </c>
      <c r="I959" s="180"/>
      <c r="J959" s="180"/>
      <c r="K959" s="180"/>
      <c r="L959" s="180"/>
      <c r="M959" s="180"/>
      <c r="N959" s="180"/>
      <c r="O959" s="180"/>
      <c r="P959" s="180"/>
    </row>
    <row r="960" spans="1:55" x14ac:dyDescent="0.45">
      <c r="A960" s="180" t="s">
        <v>1</v>
      </c>
      <c r="B960" s="73">
        <v>3</v>
      </c>
      <c r="C960" s="73"/>
      <c r="D960" s="180" t="s">
        <v>128</v>
      </c>
      <c r="E960" s="39">
        <v>43588</v>
      </c>
      <c r="F960" s="179">
        <v>0.68125000000000002</v>
      </c>
      <c r="G960" s="180">
        <v>4</v>
      </c>
      <c r="H960" s="180" t="s">
        <v>310</v>
      </c>
      <c r="I960" s="180"/>
      <c r="J960" s="180"/>
      <c r="K960" s="180"/>
      <c r="L960" s="180"/>
      <c r="M960" s="180"/>
      <c r="N960" s="180"/>
      <c r="O960" s="180"/>
      <c r="P960" s="180"/>
    </row>
    <row r="961" spans="1:55" x14ac:dyDescent="0.45">
      <c r="A961" s="180" t="s">
        <v>1</v>
      </c>
      <c r="B961" s="73">
        <v>3</v>
      </c>
      <c r="C961" s="73">
        <v>3</v>
      </c>
      <c r="D961" s="180" t="s">
        <v>311</v>
      </c>
      <c r="E961" s="39">
        <v>43588</v>
      </c>
      <c r="F961" s="179">
        <v>0.67708333333333337</v>
      </c>
      <c r="G961" s="180">
        <v>9</v>
      </c>
      <c r="H961" s="180" t="s">
        <v>312</v>
      </c>
      <c r="I961" s="180"/>
      <c r="J961" s="180"/>
      <c r="K961" s="180"/>
      <c r="L961" s="180"/>
      <c r="M961" s="180"/>
      <c r="N961" s="180"/>
      <c r="O961" s="180"/>
      <c r="P961" s="180"/>
    </row>
    <row r="962" spans="1:55" x14ac:dyDescent="0.45">
      <c r="A962" s="180" t="s">
        <v>1</v>
      </c>
      <c r="B962" s="73">
        <v>2</v>
      </c>
      <c r="C962" s="73">
        <v>2</v>
      </c>
      <c r="D962" s="180" t="s">
        <v>317</v>
      </c>
      <c r="E962" s="39">
        <v>43589</v>
      </c>
      <c r="F962" s="179">
        <v>0.6333333333333333</v>
      </c>
      <c r="G962" s="180">
        <v>1</v>
      </c>
      <c r="H962" s="180"/>
      <c r="I962" s="180"/>
      <c r="J962" s="180"/>
      <c r="K962" s="180"/>
      <c r="L962" s="180"/>
      <c r="M962" s="180"/>
      <c r="N962" s="180"/>
      <c r="O962" s="180"/>
      <c r="P962" s="180"/>
    </row>
    <row r="963" spans="1:55" x14ac:dyDescent="0.45">
      <c r="A963" s="180" t="s">
        <v>1</v>
      </c>
      <c r="B963" s="73">
        <v>1</v>
      </c>
      <c r="C963" s="73">
        <v>1</v>
      </c>
      <c r="D963" s="180" t="s">
        <v>271</v>
      </c>
      <c r="E963" s="39">
        <v>43588</v>
      </c>
      <c r="F963" s="179">
        <v>0.67708333333333337</v>
      </c>
      <c r="G963" s="180">
        <v>3</v>
      </c>
      <c r="H963" s="180" t="s">
        <v>312</v>
      </c>
      <c r="I963" s="180"/>
      <c r="J963" s="180"/>
      <c r="K963" s="180"/>
      <c r="L963" s="180"/>
      <c r="M963" s="180"/>
      <c r="N963" s="180"/>
      <c r="O963" s="180"/>
      <c r="P963" s="180"/>
    </row>
    <row r="964" spans="1:55" x14ac:dyDescent="0.45">
      <c r="A964" s="180" t="s">
        <v>1</v>
      </c>
      <c r="B964" s="73">
        <v>2</v>
      </c>
      <c r="C964" s="73">
        <v>2</v>
      </c>
      <c r="D964" s="180" t="s">
        <v>128</v>
      </c>
      <c r="E964" s="39">
        <v>43590</v>
      </c>
      <c r="F964" s="179">
        <v>0.54027777777777775</v>
      </c>
      <c r="G964" s="180">
        <v>1</v>
      </c>
      <c r="H964" s="180"/>
      <c r="I964" s="180"/>
      <c r="J964" s="180"/>
      <c r="K964" s="180"/>
      <c r="L964" s="180"/>
      <c r="M964" s="180"/>
      <c r="N964" s="180"/>
      <c r="O964" s="180"/>
      <c r="P964" s="180"/>
    </row>
    <row r="965" spans="1:55" x14ac:dyDescent="0.45">
      <c r="A965" s="180" t="s">
        <v>1</v>
      </c>
      <c r="B965" s="73">
        <v>1</v>
      </c>
      <c r="C965" s="73">
        <v>1</v>
      </c>
      <c r="D965" s="180" t="s">
        <v>315</v>
      </c>
      <c r="E965" s="39">
        <v>43593</v>
      </c>
      <c r="F965" s="179">
        <v>0.80208333333333337</v>
      </c>
      <c r="G965" s="180">
        <v>3</v>
      </c>
      <c r="H965" s="180" t="s">
        <v>316</v>
      </c>
      <c r="I965" s="180"/>
      <c r="J965" s="180"/>
      <c r="K965" s="180"/>
      <c r="L965" s="180"/>
      <c r="M965" s="180"/>
      <c r="N965" s="180"/>
      <c r="O965" s="180"/>
      <c r="P965" s="180"/>
    </row>
    <row r="966" spans="1:55" x14ac:dyDescent="0.45">
      <c r="A966" s="180" t="s">
        <v>1</v>
      </c>
      <c r="B966" s="73">
        <v>8</v>
      </c>
      <c r="C966" s="73"/>
      <c r="D966" s="180" t="s">
        <v>317</v>
      </c>
      <c r="E966" s="39">
        <v>43593</v>
      </c>
      <c r="F966" s="179">
        <v>0.79722222222222217</v>
      </c>
      <c r="G966" s="180">
        <v>7</v>
      </c>
      <c r="H966" s="180"/>
      <c r="I966" s="180"/>
      <c r="J966" s="180"/>
      <c r="K966" s="180"/>
      <c r="L966" s="180"/>
      <c r="M966" s="180"/>
      <c r="N966" s="180"/>
      <c r="O966" s="180"/>
      <c r="P966" s="180"/>
    </row>
    <row r="967" spans="1:55" x14ac:dyDescent="0.45">
      <c r="A967" s="180" t="s">
        <v>1</v>
      </c>
      <c r="B967" s="73">
        <v>4</v>
      </c>
      <c r="C967" s="73"/>
      <c r="D967" s="180" t="s">
        <v>317</v>
      </c>
      <c r="E967" s="39">
        <v>43593</v>
      </c>
      <c r="F967" s="179">
        <v>0.71597222222222223</v>
      </c>
      <c r="G967" s="180">
        <v>2</v>
      </c>
      <c r="H967" s="180"/>
      <c r="I967" s="180"/>
      <c r="J967" s="180"/>
      <c r="K967" s="180"/>
      <c r="L967" s="180"/>
      <c r="M967" s="180"/>
      <c r="N967" s="180"/>
      <c r="O967" s="180"/>
      <c r="P967" s="180"/>
    </row>
    <row r="968" spans="1:55" x14ac:dyDescent="0.45">
      <c r="A968" s="180" t="s">
        <v>1</v>
      </c>
      <c r="B968" s="73">
        <v>4</v>
      </c>
      <c r="C968" s="73"/>
      <c r="D968" s="180" t="s">
        <v>317</v>
      </c>
      <c r="E968" s="39">
        <v>43593</v>
      </c>
      <c r="F968" s="179">
        <v>0.71597222222222223</v>
      </c>
      <c r="G968" s="180">
        <v>2</v>
      </c>
      <c r="H968" s="180"/>
      <c r="I968" s="180"/>
      <c r="J968" s="180"/>
      <c r="K968" s="180"/>
      <c r="L968" s="180"/>
      <c r="M968" s="180"/>
      <c r="N968" s="180"/>
      <c r="O968" s="180"/>
      <c r="P968" s="180"/>
    </row>
    <row r="969" spans="1:55" x14ac:dyDescent="0.45">
      <c r="A969" s="180" t="s">
        <v>1</v>
      </c>
      <c r="B969" s="73">
        <v>4</v>
      </c>
      <c r="C969" s="73"/>
      <c r="D969" s="180" t="s">
        <v>317</v>
      </c>
      <c r="E969" s="39">
        <v>43593</v>
      </c>
      <c r="F969" s="179">
        <v>0.71597222222222223</v>
      </c>
      <c r="G969" s="180">
        <v>2</v>
      </c>
      <c r="H969" s="180"/>
      <c r="I969" s="180"/>
      <c r="J969" s="180"/>
      <c r="K969" s="180"/>
      <c r="L969" s="180"/>
      <c r="M969" s="180"/>
      <c r="N969" s="180"/>
      <c r="O969" s="180"/>
      <c r="P969" s="180"/>
    </row>
    <row r="970" spans="1:55" s="2" customFormat="1" x14ac:dyDescent="0.45">
      <c r="A970" s="180" t="s">
        <v>1</v>
      </c>
      <c r="B970" s="73">
        <v>14</v>
      </c>
      <c r="C970" s="73">
        <v>14</v>
      </c>
      <c r="D970" s="180" t="s">
        <v>311</v>
      </c>
      <c r="E970" s="39">
        <v>43593</v>
      </c>
      <c r="F970" s="179">
        <v>0.80208333333333337</v>
      </c>
      <c r="G970" s="180">
        <v>7</v>
      </c>
      <c r="H970" s="180" t="s">
        <v>280</v>
      </c>
      <c r="I970" s="180"/>
      <c r="J970" s="180"/>
      <c r="K970" s="180"/>
      <c r="L970" s="180"/>
      <c r="M970" s="180"/>
      <c r="N970" s="180"/>
      <c r="O970" s="180"/>
      <c r="P970" s="18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row>
    <row r="971" spans="1:55" x14ac:dyDescent="0.45">
      <c r="A971" s="180" t="s">
        <v>1</v>
      </c>
      <c r="B971" s="73">
        <v>1</v>
      </c>
      <c r="C971" s="73"/>
      <c r="D971" s="180" t="s">
        <v>309</v>
      </c>
      <c r="E971" s="39">
        <v>43593</v>
      </c>
      <c r="F971" s="179">
        <v>0.78680555555555554</v>
      </c>
      <c r="G971" s="180">
        <v>1</v>
      </c>
      <c r="H971" s="180"/>
      <c r="I971" s="180"/>
      <c r="J971" s="180"/>
      <c r="K971" s="180"/>
      <c r="L971" s="180"/>
      <c r="M971" s="180"/>
      <c r="N971" s="180"/>
      <c r="O971" s="180"/>
      <c r="P971" s="180"/>
    </row>
    <row r="972" spans="1:55" x14ac:dyDescent="0.45">
      <c r="A972" s="180" t="s">
        <v>1</v>
      </c>
      <c r="B972" s="73">
        <v>11</v>
      </c>
      <c r="C972" s="73">
        <v>11</v>
      </c>
      <c r="D972" s="180" t="s">
        <v>309</v>
      </c>
      <c r="E972" s="39">
        <v>43593</v>
      </c>
      <c r="F972" s="179">
        <v>0.80208333333333337</v>
      </c>
      <c r="G972" s="180">
        <v>5</v>
      </c>
      <c r="H972" s="180"/>
      <c r="I972" s="180"/>
      <c r="J972" s="180"/>
      <c r="K972" s="180"/>
      <c r="L972" s="180"/>
      <c r="M972" s="180"/>
      <c r="N972" s="180"/>
      <c r="O972" s="180"/>
      <c r="P972" s="180"/>
    </row>
    <row r="973" spans="1:55" s="2" customFormat="1" x14ac:dyDescent="0.45">
      <c r="A973" s="180" t="s">
        <v>1</v>
      </c>
      <c r="B973" s="73">
        <v>1</v>
      </c>
      <c r="C973" s="73"/>
      <c r="D973" s="180" t="s">
        <v>318</v>
      </c>
      <c r="E973" s="39">
        <v>43593</v>
      </c>
      <c r="F973" s="179">
        <v>0.80208333333333337</v>
      </c>
      <c r="G973" s="180">
        <v>3</v>
      </c>
      <c r="H973" s="180" t="s">
        <v>280</v>
      </c>
      <c r="I973" s="180"/>
      <c r="J973" s="180"/>
      <c r="K973" s="180"/>
      <c r="L973" s="180"/>
      <c r="M973" s="180"/>
      <c r="N973" s="180"/>
      <c r="O973" s="180"/>
      <c r="P973" s="180"/>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row>
    <row r="974" spans="1:55" x14ac:dyDescent="0.45">
      <c r="A974" s="180" t="s">
        <v>1</v>
      </c>
      <c r="B974" s="73">
        <v>3</v>
      </c>
      <c r="C974" s="73"/>
      <c r="D974" s="180" t="s">
        <v>271</v>
      </c>
      <c r="E974" s="39">
        <v>43593</v>
      </c>
      <c r="F974" s="179">
        <v>0.50416666666666665</v>
      </c>
      <c r="G974" s="180">
        <v>1</v>
      </c>
      <c r="H974" s="180"/>
      <c r="I974" s="180"/>
      <c r="J974" s="180"/>
      <c r="K974" s="180"/>
      <c r="L974" s="180"/>
      <c r="M974" s="180"/>
      <c r="N974" s="180"/>
      <c r="O974" s="180"/>
      <c r="P974" s="180"/>
    </row>
    <row r="975" spans="1:55" s="180" customFormat="1" x14ac:dyDescent="0.45">
      <c r="A975" s="180" t="s">
        <v>1</v>
      </c>
      <c r="B975" s="73">
        <v>3</v>
      </c>
      <c r="C975" s="73">
        <v>3</v>
      </c>
      <c r="D975" s="180" t="s">
        <v>271</v>
      </c>
      <c r="E975" s="39">
        <v>43593</v>
      </c>
      <c r="F975" s="179"/>
    </row>
    <row r="976" spans="1:55" s="2" customFormat="1" x14ac:dyDescent="0.45">
      <c r="A976" s="180" t="s">
        <v>1</v>
      </c>
      <c r="B976" s="73">
        <v>1</v>
      </c>
      <c r="C976" s="73"/>
      <c r="D976" s="180" t="s">
        <v>489</v>
      </c>
      <c r="E976" s="39">
        <v>43594</v>
      </c>
      <c r="F976" s="179">
        <v>0.60555555555555551</v>
      </c>
      <c r="G976" s="180">
        <v>1</v>
      </c>
      <c r="H976" s="180"/>
      <c r="I976" s="180"/>
      <c r="J976" s="180"/>
      <c r="K976" s="180"/>
      <c r="L976" s="180"/>
      <c r="M976" s="180"/>
      <c r="N976" s="180"/>
      <c r="O976" s="180"/>
      <c r="P976" s="180"/>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row>
    <row r="977" spans="1:55" x14ac:dyDescent="0.45">
      <c r="A977" s="180" t="s">
        <v>1</v>
      </c>
      <c r="B977" s="73">
        <v>1</v>
      </c>
      <c r="C977" s="73">
        <v>1</v>
      </c>
      <c r="D977" s="180" t="s">
        <v>315</v>
      </c>
      <c r="E977" s="39">
        <v>43594</v>
      </c>
      <c r="F977" s="179">
        <v>0.4368055555555555</v>
      </c>
      <c r="G977" s="180">
        <v>2</v>
      </c>
      <c r="H977" s="180"/>
      <c r="I977" s="180"/>
      <c r="J977" s="180"/>
      <c r="K977" s="180"/>
      <c r="L977" s="180"/>
      <c r="M977" s="180"/>
      <c r="N977" s="180"/>
      <c r="O977" s="180"/>
      <c r="P977" s="180"/>
    </row>
    <row r="978" spans="1:55" x14ac:dyDescent="0.45">
      <c r="A978" s="180" t="s">
        <v>1</v>
      </c>
      <c r="B978" s="73">
        <v>2</v>
      </c>
      <c r="C978" s="73"/>
      <c r="D978" s="180" t="s">
        <v>317</v>
      </c>
      <c r="E978" s="39">
        <v>43594</v>
      </c>
      <c r="F978" s="179">
        <v>0.39374999999999999</v>
      </c>
      <c r="G978" s="180">
        <v>2</v>
      </c>
      <c r="H978" s="180"/>
      <c r="I978" s="180"/>
      <c r="J978" s="180"/>
      <c r="K978" s="180"/>
      <c r="L978" s="180"/>
      <c r="M978" s="180"/>
      <c r="N978" s="180"/>
      <c r="O978" s="180"/>
      <c r="P978" s="180"/>
    </row>
    <row r="979" spans="1:55" x14ac:dyDescent="0.45">
      <c r="A979" s="180" t="s">
        <v>1</v>
      </c>
      <c r="B979" s="73">
        <v>2</v>
      </c>
      <c r="C979" s="73"/>
      <c r="D979" s="180" t="s">
        <v>317</v>
      </c>
      <c r="E979" s="39">
        <v>43594</v>
      </c>
      <c r="F979" s="179">
        <v>0.39374999999999999</v>
      </c>
      <c r="G979" s="180">
        <v>2</v>
      </c>
      <c r="H979" s="180"/>
      <c r="I979" s="180"/>
      <c r="J979" s="180"/>
      <c r="K979" s="180"/>
      <c r="L979" s="180"/>
      <c r="M979" s="180"/>
      <c r="N979" s="180"/>
      <c r="O979" s="180"/>
      <c r="P979" s="180"/>
    </row>
    <row r="980" spans="1:55" s="2" customFormat="1" x14ac:dyDescent="0.45">
      <c r="A980" s="180" t="s">
        <v>1</v>
      </c>
      <c r="B980" s="73">
        <v>2</v>
      </c>
      <c r="C980" s="73"/>
      <c r="D980" s="180" t="s">
        <v>317</v>
      </c>
      <c r="E980" s="39">
        <v>43594</v>
      </c>
      <c r="F980" s="179">
        <v>0.39374999999999999</v>
      </c>
      <c r="G980" s="180">
        <v>2</v>
      </c>
      <c r="H980" s="180"/>
      <c r="I980" s="180"/>
      <c r="J980" s="180"/>
      <c r="K980" s="180"/>
      <c r="L980" s="180"/>
      <c r="M980" s="180"/>
      <c r="N980" s="180"/>
      <c r="O980" s="180"/>
      <c r="P980" s="1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row>
    <row r="981" spans="1:55" x14ac:dyDescent="0.45">
      <c r="A981" s="180" t="s">
        <v>1</v>
      </c>
      <c r="B981" s="73">
        <v>3</v>
      </c>
      <c r="C981" s="73">
        <v>3</v>
      </c>
      <c r="D981" s="180" t="s">
        <v>311</v>
      </c>
      <c r="E981" s="39">
        <v>43594</v>
      </c>
      <c r="F981" s="179">
        <v>0.64583333333333337</v>
      </c>
      <c r="G981" s="180">
        <v>1</v>
      </c>
      <c r="H981" s="180"/>
      <c r="I981" s="180"/>
      <c r="J981" s="180"/>
      <c r="K981" s="180"/>
      <c r="L981" s="180"/>
      <c r="M981" s="180"/>
      <c r="N981" s="180"/>
      <c r="O981" s="180"/>
      <c r="P981" s="180"/>
    </row>
    <row r="982" spans="1:55" x14ac:dyDescent="0.45">
      <c r="A982" s="180" t="s">
        <v>1</v>
      </c>
      <c r="B982" s="73">
        <v>1</v>
      </c>
      <c r="C982" s="73">
        <v>1</v>
      </c>
      <c r="D982" s="180" t="s">
        <v>271</v>
      </c>
      <c r="E982" s="39">
        <v>43594</v>
      </c>
      <c r="F982" s="179">
        <v>0.54166666666666663</v>
      </c>
      <c r="G982" s="180">
        <v>1</v>
      </c>
      <c r="H982" s="180"/>
      <c r="I982" s="180"/>
      <c r="J982" s="180"/>
      <c r="K982" s="180"/>
      <c r="L982" s="180"/>
      <c r="M982" s="180"/>
      <c r="N982" s="180"/>
      <c r="O982" s="180"/>
      <c r="P982" s="180"/>
    </row>
    <row r="983" spans="1:55" x14ac:dyDescent="0.45">
      <c r="A983" s="180" t="s">
        <v>1</v>
      </c>
      <c r="B983" s="73">
        <v>2</v>
      </c>
      <c r="C983" s="73"/>
      <c r="D983" s="180" t="s">
        <v>359</v>
      </c>
      <c r="E983" s="39">
        <v>43594</v>
      </c>
      <c r="F983" s="179">
        <v>0.75</v>
      </c>
      <c r="G983" s="180">
        <v>2</v>
      </c>
      <c r="H983" s="180"/>
      <c r="I983" s="180"/>
      <c r="J983" s="180"/>
      <c r="K983" s="180"/>
      <c r="L983" s="180"/>
      <c r="M983" s="180"/>
      <c r="N983" s="180"/>
      <c r="O983" s="180"/>
      <c r="P983" s="180"/>
    </row>
    <row r="984" spans="1:55" s="2" customFormat="1" x14ac:dyDescent="0.45">
      <c r="A984" s="180" t="s">
        <v>1</v>
      </c>
      <c r="B984" s="73">
        <v>4</v>
      </c>
      <c r="C984" s="73">
        <v>4</v>
      </c>
      <c r="D984" s="180" t="s">
        <v>317</v>
      </c>
      <c r="E984" s="39">
        <v>43595</v>
      </c>
      <c r="F984" s="179">
        <v>0.59930555555555554</v>
      </c>
      <c r="G984" s="180">
        <v>1</v>
      </c>
      <c r="H984" s="180" t="s">
        <v>465</v>
      </c>
      <c r="I984" s="180"/>
      <c r="J984" s="180"/>
      <c r="K984" s="180"/>
      <c r="L984" s="180"/>
      <c r="M984" s="180"/>
      <c r="N984" s="180"/>
      <c r="O984" s="180"/>
      <c r="P984" s="180"/>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row>
    <row r="985" spans="1:55" x14ac:dyDescent="0.45">
      <c r="A985" s="180" t="s">
        <v>1</v>
      </c>
      <c r="B985" s="73">
        <v>2</v>
      </c>
      <c r="C985" s="73">
        <v>2</v>
      </c>
      <c r="D985" s="180" t="s">
        <v>332</v>
      </c>
      <c r="E985" s="39">
        <v>43595</v>
      </c>
      <c r="F985" s="179">
        <v>0.3611111111111111</v>
      </c>
      <c r="G985" s="180">
        <v>3</v>
      </c>
      <c r="H985" s="180" t="s">
        <v>521</v>
      </c>
      <c r="I985" s="180"/>
      <c r="J985" s="180"/>
      <c r="K985" s="180"/>
      <c r="L985" s="180"/>
      <c r="M985" s="180"/>
      <c r="N985" s="180"/>
      <c r="O985" s="180"/>
      <c r="P985" s="180"/>
    </row>
    <row r="986" spans="1:55" x14ac:dyDescent="0.45">
      <c r="A986" s="180" t="s">
        <v>1</v>
      </c>
      <c r="B986" s="73">
        <v>3</v>
      </c>
      <c r="C986" s="73">
        <v>3</v>
      </c>
      <c r="D986" s="180" t="s">
        <v>309</v>
      </c>
      <c r="E986" s="39">
        <v>43595</v>
      </c>
      <c r="F986" s="179">
        <v>0.80138888888888893</v>
      </c>
      <c r="G986" s="180">
        <v>1</v>
      </c>
      <c r="H986" s="180"/>
      <c r="I986" s="180"/>
      <c r="J986" s="180"/>
      <c r="K986" s="180"/>
      <c r="L986" s="180"/>
      <c r="M986" s="180"/>
      <c r="N986" s="180"/>
      <c r="O986" s="180"/>
      <c r="P986" s="180"/>
    </row>
    <row r="987" spans="1:55" x14ac:dyDescent="0.45">
      <c r="A987" s="180" t="s">
        <v>1</v>
      </c>
      <c r="B987" s="73">
        <v>2</v>
      </c>
      <c r="C987" s="73"/>
      <c r="D987" s="180" t="s">
        <v>309</v>
      </c>
      <c r="E987" s="39">
        <v>43595</v>
      </c>
      <c r="F987" s="179">
        <v>0.86805555555555547</v>
      </c>
      <c r="G987" s="180">
        <v>11</v>
      </c>
      <c r="H987" s="180"/>
      <c r="I987" s="180" t="s">
        <v>522</v>
      </c>
      <c r="J987" s="180"/>
      <c r="K987" s="180"/>
      <c r="L987" s="180"/>
      <c r="M987" s="180"/>
      <c r="N987" s="180"/>
      <c r="O987" s="180"/>
      <c r="P987" s="180"/>
    </row>
    <row r="988" spans="1:55" x14ac:dyDescent="0.45">
      <c r="A988" s="180" t="s">
        <v>1</v>
      </c>
      <c r="B988" s="73">
        <v>1</v>
      </c>
      <c r="C988" s="73">
        <v>1</v>
      </c>
      <c r="D988" s="180" t="s">
        <v>271</v>
      </c>
      <c r="E988" s="39">
        <v>43595</v>
      </c>
      <c r="F988" s="180"/>
      <c r="G988" s="180"/>
      <c r="H988" s="180"/>
      <c r="I988" s="180"/>
      <c r="J988" s="180"/>
      <c r="K988" s="180"/>
      <c r="L988" s="180"/>
      <c r="M988" s="180"/>
      <c r="N988" s="180"/>
      <c r="O988" s="180"/>
      <c r="P988" s="180"/>
    </row>
    <row r="989" spans="1:55" x14ac:dyDescent="0.45">
      <c r="A989" s="180" t="s">
        <v>1</v>
      </c>
      <c r="B989" s="73">
        <v>4</v>
      </c>
      <c r="C989" s="73"/>
      <c r="D989" s="180" t="s">
        <v>379</v>
      </c>
      <c r="E989" s="39">
        <v>43596</v>
      </c>
      <c r="F989" s="179">
        <v>0.5</v>
      </c>
      <c r="G989" s="180">
        <v>2</v>
      </c>
      <c r="H989" s="180"/>
      <c r="I989" s="180"/>
      <c r="J989" s="180"/>
      <c r="K989" s="180"/>
      <c r="L989" s="180"/>
      <c r="M989" s="180"/>
      <c r="N989" s="180"/>
      <c r="O989" s="180"/>
      <c r="P989" s="180"/>
    </row>
    <row r="990" spans="1:55" s="2" customFormat="1" x14ac:dyDescent="0.45">
      <c r="A990" s="180" t="s">
        <v>1</v>
      </c>
      <c r="B990" s="73">
        <v>5</v>
      </c>
      <c r="C990" s="73"/>
      <c r="D990" s="180" t="s">
        <v>321</v>
      </c>
      <c r="E990" s="39">
        <v>43596</v>
      </c>
      <c r="F990" s="179">
        <v>0.36388888888888887</v>
      </c>
      <c r="G990" s="180">
        <v>1</v>
      </c>
      <c r="H990" s="180"/>
      <c r="I990" s="180"/>
      <c r="J990" s="180"/>
      <c r="K990" s="180"/>
      <c r="L990" s="180"/>
      <c r="M990" s="180"/>
      <c r="N990" s="180"/>
      <c r="O990" s="180"/>
      <c r="P990" s="18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row>
    <row r="991" spans="1:55" x14ac:dyDescent="0.45">
      <c r="A991" s="180" t="s">
        <v>1</v>
      </c>
      <c r="B991" s="73">
        <v>2</v>
      </c>
      <c r="C991" s="73"/>
      <c r="D991" s="180" t="s">
        <v>380</v>
      </c>
      <c r="E991" s="39">
        <v>43596</v>
      </c>
      <c r="F991" s="179">
        <v>0.64027777777777783</v>
      </c>
      <c r="G991" s="180">
        <v>1</v>
      </c>
      <c r="H991" s="180"/>
      <c r="I991" s="180"/>
      <c r="J991" s="180"/>
      <c r="K991" s="180"/>
      <c r="L991" s="180"/>
      <c r="M991" s="180"/>
      <c r="N991" s="180"/>
      <c r="O991" s="180"/>
      <c r="P991" s="180"/>
    </row>
    <row r="992" spans="1:55" x14ac:dyDescent="0.45">
      <c r="A992" s="180" t="s">
        <v>1</v>
      </c>
      <c r="B992" s="73">
        <v>2</v>
      </c>
      <c r="C992" s="73"/>
      <c r="D992" s="180" t="s">
        <v>380</v>
      </c>
      <c r="E992" s="39">
        <v>43596</v>
      </c>
      <c r="F992" s="179">
        <v>0.64027777777777783</v>
      </c>
      <c r="G992" s="180">
        <v>1</v>
      </c>
      <c r="H992" s="180"/>
      <c r="I992" s="180"/>
      <c r="J992" s="180"/>
      <c r="K992" s="180"/>
      <c r="L992" s="180"/>
      <c r="M992" s="180"/>
      <c r="N992" s="180"/>
      <c r="O992" s="180"/>
      <c r="P992" s="180"/>
    </row>
    <row r="993" spans="1:55" x14ac:dyDescent="0.45">
      <c r="A993" s="180" t="s">
        <v>1</v>
      </c>
      <c r="B993" s="73">
        <v>1</v>
      </c>
      <c r="C993" s="73"/>
      <c r="D993" s="180" t="s">
        <v>378</v>
      </c>
      <c r="E993" s="39">
        <v>43596</v>
      </c>
      <c r="F993" s="179">
        <v>0.82500000000000007</v>
      </c>
      <c r="G993" s="180">
        <v>1</v>
      </c>
      <c r="H993" s="180"/>
      <c r="I993" s="180"/>
      <c r="J993" s="180"/>
      <c r="K993" s="180"/>
      <c r="L993" s="180"/>
      <c r="M993" s="180"/>
      <c r="N993" s="180"/>
      <c r="O993" s="180"/>
      <c r="P993" s="180"/>
    </row>
    <row r="994" spans="1:55" s="2" customFormat="1" x14ac:dyDescent="0.45">
      <c r="A994" s="180" t="s">
        <v>1</v>
      </c>
      <c r="B994" s="73">
        <v>1</v>
      </c>
      <c r="C994" s="73"/>
      <c r="D994" s="180" t="s">
        <v>378</v>
      </c>
      <c r="E994" s="39">
        <v>43596</v>
      </c>
      <c r="F994" s="179">
        <v>0.82500000000000007</v>
      </c>
      <c r="G994" s="180">
        <v>1</v>
      </c>
      <c r="H994" s="180"/>
      <c r="I994" s="180"/>
      <c r="J994" s="180"/>
      <c r="K994" s="180"/>
      <c r="L994" s="180"/>
      <c r="M994" s="180"/>
      <c r="N994" s="180"/>
      <c r="O994" s="180"/>
      <c r="P994" s="180"/>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row>
    <row r="995" spans="1:55" x14ac:dyDescent="0.45">
      <c r="A995" s="180" t="s">
        <v>1</v>
      </c>
      <c r="B995" s="73">
        <v>4</v>
      </c>
      <c r="C995" s="73"/>
      <c r="D995" s="180" t="s">
        <v>442</v>
      </c>
      <c r="E995" s="39">
        <v>43596</v>
      </c>
      <c r="F995" s="179">
        <v>0.5395833333333333</v>
      </c>
      <c r="G995" s="180">
        <v>1</v>
      </c>
      <c r="H995" s="180"/>
      <c r="I995" s="180"/>
      <c r="J995" s="180"/>
      <c r="K995" s="180"/>
      <c r="L995" s="180"/>
      <c r="M995" s="180"/>
      <c r="N995" s="180"/>
      <c r="O995" s="180"/>
      <c r="P995" s="180"/>
    </row>
    <row r="996" spans="1:55" x14ac:dyDescent="0.45">
      <c r="A996" s="180" t="s">
        <v>1</v>
      </c>
      <c r="B996" s="73">
        <v>1</v>
      </c>
      <c r="C996" s="73">
        <v>1</v>
      </c>
      <c r="D996" s="180" t="s">
        <v>317</v>
      </c>
      <c r="E996" s="39">
        <v>43596</v>
      </c>
      <c r="F996" s="179">
        <v>0.68194444444444446</v>
      </c>
      <c r="G996" s="180">
        <v>1</v>
      </c>
      <c r="H996" s="180"/>
      <c r="I996" s="180"/>
      <c r="J996" s="180"/>
      <c r="K996" s="180"/>
      <c r="L996" s="180"/>
      <c r="M996" s="180"/>
      <c r="N996" s="180"/>
      <c r="O996" s="180"/>
      <c r="P996" s="180"/>
    </row>
    <row r="997" spans="1:55" x14ac:dyDescent="0.45">
      <c r="A997" s="180" t="s">
        <v>1</v>
      </c>
      <c r="B997" s="73">
        <v>1</v>
      </c>
      <c r="C997" s="73"/>
      <c r="D997" s="180" t="s">
        <v>332</v>
      </c>
      <c r="E997" s="39">
        <v>43596</v>
      </c>
      <c r="F997" s="179">
        <v>0.64097222222222217</v>
      </c>
      <c r="G997" s="180">
        <v>22</v>
      </c>
      <c r="H997" s="180"/>
      <c r="I997" s="180"/>
      <c r="J997" s="180"/>
      <c r="K997" s="180"/>
      <c r="L997" s="180"/>
      <c r="M997" s="180"/>
      <c r="N997" s="180"/>
      <c r="O997" s="180"/>
      <c r="P997" s="180"/>
    </row>
    <row r="998" spans="1:55" s="2" customFormat="1" x14ac:dyDescent="0.45">
      <c r="A998" s="180" t="s">
        <v>1</v>
      </c>
      <c r="B998" s="73">
        <v>2</v>
      </c>
      <c r="C998" s="73">
        <v>2</v>
      </c>
      <c r="D998" s="180" t="s">
        <v>332</v>
      </c>
      <c r="E998" s="39">
        <v>43596</v>
      </c>
      <c r="F998" s="179">
        <v>0.32777777777777778</v>
      </c>
      <c r="G998" s="180">
        <v>4</v>
      </c>
      <c r="H998" s="180"/>
      <c r="I998" s="180"/>
      <c r="J998" s="180"/>
      <c r="K998" s="180"/>
      <c r="L998" s="180"/>
      <c r="M998" s="180"/>
      <c r="N998" s="180"/>
      <c r="O998" s="180"/>
      <c r="P998" s="180"/>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row>
    <row r="999" spans="1:55" x14ac:dyDescent="0.45">
      <c r="A999" s="180" t="s">
        <v>1</v>
      </c>
      <c r="B999" s="73">
        <v>2</v>
      </c>
      <c r="C999" s="73"/>
      <c r="D999" s="180" t="s">
        <v>332</v>
      </c>
      <c r="E999" s="39">
        <v>43596</v>
      </c>
      <c r="F999" s="179">
        <v>0.32777777777777778</v>
      </c>
      <c r="G999" s="180">
        <v>4</v>
      </c>
      <c r="H999" s="180"/>
      <c r="I999" s="180"/>
      <c r="J999" s="180"/>
      <c r="K999" s="180"/>
      <c r="L999" s="180"/>
      <c r="M999" s="180"/>
      <c r="N999" s="180"/>
      <c r="O999" s="180"/>
      <c r="P999" s="180"/>
    </row>
    <row r="1000" spans="1:55" s="2" customFormat="1" x14ac:dyDescent="0.45">
      <c r="A1000" s="180" t="s">
        <v>1</v>
      </c>
      <c r="B1000" s="73">
        <v>5</v>
      </c>
      <c r="C1000" s="73"/>
      <c r="D1000" s="180" t="s">
        <v>309</v>
      </c>
      <c r="E1000" s="39">
        <v>43596</v>
      </c>
      <c r="F1000" s="179">
        <v>0.28611111111111115</v>
      </c>
      <c r="G1000" s="180">
        <v>13</v>
      </c>
      <c r="H1000" s="180"/>
      <c r="I1000" s="180"/>
      <c r="J1000" s="180"/>
      <c r="K1000" s="180"/>
      <c r="L1000" s="180"/>
      <c r="M1000" s="180"/>
      <c r="N1000" s="180"/>
      <c r="O1000" s="180"/>
      <c r="P1000" s="18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row>
    <row r="1001" spans="1:55" x14ac:dyDescent="0.45">
      <c r="A1001" s="180" t="s">
        <v>1</v>
      </c>
      <c r="B1001" s="73">
        <v>20</v>
      </c>
      <c r="C1001" s="73"/>
      <c r="D1001" s="180" t="s">
        <v>309</v>
      </c>
      <c r="E1001" s="39">
        <v>43596</v>
      </c>
      <c r="F1001" s="179">
        <v>0.79513888888888884</v>
      </c>
      <c r="G1001" s="180">
        <v>1</v>
      </c>
      <c r="H1001" s="180" t="s">
        <v>387</v>
      </c>
      <c r="I1001" s="180"/>
      <c r="J1001" s="180"/>
      <c r="K1001" s="180"/>
      <c r="L1001" s="180"/>
      <c r="M1001" s="180"/>
      <c r="N1001" s="180"/>
      <c r="O1001" s="180"/>
      <c r="P1001" s="180"/>
    </row>
    <row r="1002" spans="1:55" x14ac:dyDescent="0.45">
      <c r="A1002" s="180" t="s">
        <v>1</v>
      </c>
      <c r="B1002" s="73">
        <v>6</v>
      </c>
      <c r="C1002" s="73"/>
      <c r="D1002" s="180" t="s">
        <v>309</v>
      </c>
      <c r="E1002" s="39">
        <v>43596</v>
      </c>
      <c r="F1002" s="179">
        <v>0.3347222222222222</v>
      </c>
      <c r="G1002" s="180">
        <v>1</v>
      </c>
      <c r="H1002" s="180"/>
      <c r="I1002" s="180"/>
      <c r="J1002" s="180"/>
      <c r="K1002" s="180"/>
      <c r="L1002" s="180"/>
      <c r="M1002" s="180"/>
      <c r="N1002" s="180"/>
      <c r="O1002" s="180"/>
      <c r="P1002" s="180"/>
    </row>
    <row r="1003" spans="1:55" s="2" customFormat="1" x14ac:dyDescent="0.45">
      <c r="A1003" s="180" t="s">
        <v>1</v>
      </c>
      <c r="B1003" s="73">
        <v>5</v>
      </c>
      <c r="C1003" s="73"/>
      <c r="D1003" s="180" t="s">
        <v>309</v>
      </c>
      <c r="E1003" s="39">
        <v>43596</v>
      </c>
      <c r="F1003" s="179">
        <v>0.32291666666666669</v>
      </c>
      <c r="G1003" s="180">
        <v>5</v>
      </c>
      <c r="H1003" s="180"/>
      <c r="I1003" s="180"/>
      <c r="J1003" s="180"/>
      <c r="K1003" s="180"/>
      <c r="L1003" s="180"/>
      <c r="M1003" s="180"/>
      <c r="N1003" s="180"/>
      <c r="O1003" s="180"/>
      <c r="P1003" s="180"/>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row>
    <row r="1004" spans="1:55" x14ac:dyDescent="0.45">
      <c r="A1004" s="180" t="s">
        <v>1</v>
      </c>
      <c r="B1004" s="73">
        <v>4</v>
      </c>
      <c r="C1004" s="73"/>
      <c r="D1004" s="180" t="s">
        <v>309</v>
      </c>
      <c r="E1004" s="39">
        <v>43596</v>
      </c>
      <c r="F1004" s="179">
        <v>0.81041666666666667</v>
      </c>
      <c r="G1004" s="180">
        <v>1</v>
      </c>
      <c r="H1004" s="180"/>
      <c r="I1004" s="180"/>
      <c r="J1004" s="180"/>
      <c r="K1004" s="180"/>
      <c r="L1004" s="180"/>
      <c r="M1004" s="180"/>
      <c r="N1004" s="180"/>
      <c r="O1004" s="180"/>
      <c r="P1004" s="180"/>
    </row>
    <row r="1005" spans="1:55" x14ac:dyDescent="0.45">
      <c r="A1005" s="180" t="s">
        <v>1</v>
      </c>
      <c r="B1005" s="73">
        <v>5</v>
      </c>
      <c r="C1005" s="73"/>
      <c r="D1005" s="180" t="s">
        <v>309</v>
      </c>
      <c r="E1005" s="39">
        <v>43596</v>
      </c>
      <c r="F1005" s="179">
        <v>0.29166666666666669</v>
      </c>
      <c r="G1005" s="180">
        <v>20</v>
      </c>
      <c r="H1005" s="180" t="s">
        <v>363</v>
      </c>
      <c r="I1005" s="180"/>
      <c r="J1005" s="180"/>
      <c r="K1005" s="180"/>
      <c r="L1005" s="180"/>
      <c r="M1005" s="180"/>
      <c r="N1005" s="180"/>
      <c r="O1005" s="180"/>
      <c r="P1005" s="180"/>
    </row>
    <row r="1006" spans="1:55" s="2" customFormat="1" x14ac:dyDescent="0.45">
      <c r="A1006" s="180" t="s">
        <v>1</v>
      </c>
      <c r="B1006" s="73">
        <v>6</v>
      </c>
      <c r="C1006" s="73"/>
      <c r="D1006" s="180" t="s">
        <v>309</v>
      </c>
      <c r="E1006" s="39">
        <v>43596</v>
      </c>
      <c r="F1006" s="179">
        <v>0.32569444444444445</v>
      </c>
      <c r="G1006" s="180">
        <v>3</v>
      </c>
      <c r="H1006" s="180" t="s">
        <v>361</v>
      </c>
      <c r="I1006" s="180"/>
      <c r="J1006" s="180"/>
      <c r="K1006" s="180"/>
      <c r="L1006" s="180"/>
      <c r="M1006" s="180"/>
      <c r="N1006" s="180"/>
      <c r="O1006" s="180"/>
      <c r="P1006" s="180"/>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row>
    <row r="1007" spans="1:55" x14ac:dyDescent="0.45">
      <c r="A1007" s="180" t="s">
        <v>1</v>
      </c>
      <c r="B1007" s="73">
        <v>4</v>
      </c>
      <c r="C1007" s="73"/>
      <c r="D1007" s="180" t="s">
        <v>309</v>
      </c>
      <c r="E1007" s="39">
        <v>43596</v>
      </c>
      <c r="F1007" s="179">
        <v>0.28472222222222221</v>
      </c>
      <c r="G1007" s="180">
        <v>1</v>
      </c>
      <c r="H1007" s="180"/>
      <c r="I1007" s="180"/>
      <c r="J1007" s="180"/>
      <c r="K1007" s="180"/>
      <c r="L1007" s="180"/>
      <c r="M1007" s="180"/>
      <c r="N1007" s="180"/>
      <c r="O1007" s="180"/>
      <c r="P1007" s="180"/>
    </row>
    <row r="1008" spans="1:55" x14ac:dyDescent="0.45">
      <c r="A1008" s="180" t="s">
        <v>1</v>
      </c>
      <c r="B1008" s="73">
        <v>5</v>
      </c>
      <c r="C1008" s="73"/>
      <c r="D1008" s="180" t="s">
        <v>309</v>
      </c>
      <c r="E1008" s="39">
        <v>43596</v>
      </c>
      <c r="F1008" s="179">
        <v>0.29444444444444445</v>
      </c>
      <c r="G1008" s="180">
        <v>1</v>
      </c>
      <c r="H1008" s="180" t="s">
        <v>362</v>
      </c>
      <c r="I1008" s="180"/>
      <c r="J1008" s="180"/>
      <c r="K1008" s="180"/>
      <c r="L1008" s="180"/>
      <c r="M1008" s="180"/>
      <c r="N1008" s="180"/>
      <c r="O1008" s="180"/>
      <c r="P1008" s="180"/>
    </row>
    <row r="1009" spans="1:55" x14ac:dyDescent="0.45">
      <c r="A1009" s="180" t="s">
        <v>1</v>
      </c>
      <c r="B1009" s="73">
        <v>6</v>
      </c>
      <c r="C1009" s="73"/>
      <c r="D1009" s="180" t="s">
        <v>309</v>
      </c>
      <c r="E1009" s="39">
        <v>43596</v>
      </c>
      <c r="F1009" s="179">
        <v>0.34583333333333338</v>
      </c>
      <c r="G1009" s="180">
        <v>1</v>
      </c>
      <c r="H1009" s="180"/>
      <c r="I1009" s="180"/>
      <c r="J1009" s="180"/>
      <c r="K1009" s="180"/>
      <c r="L1009" s="180"/>
      <c r="M1009" s="180"/>
      <c r="N1009" s="180"/>
      <c r="O1009" s="180"/>
      <c r="P1009" s="180"/>
    </row>
    <row r="1010" spans="1:55" s="2" customFormat="1" x14ac:dyDescent="0.45">
      <c r="A1010" s="180" t="s">
        <v>1</v>
      </c>
      <c r="B1010" s="73">
        <v>6</v>
      </c>
      <c r="C1010" s="73"/>
      <c r="D1010" s="180" t="s">
        <v>309</v>
      </c>
      <c r="E1010" s="39">
        <v>43596</v>
      </c>
      <c r="F1010" s="179">
        <v>0.32291666666666669</v>
      </c>
      <c r="G1010" s="180">
        <v>1</v>
      </c>
      <c r="H1010" s="180" t="s">
        <v>364</v>
      </c>
      <c r="I1010" s="180"/>
      <c r="J1010" s="180"/>
      <c r="K1010" s="180"/>
      <c r="L1010" s="180"/>
      <c r="M1010" s="180"/>
      <c r="N1010" s="180"/>
      <c r="O1010" s="180"/>
      <c r="P1010" s="18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row>
    <row r="1011" spans="1:55" x14ac:dyDescent="0.45">
      <c r="A1011" s="180" t="s">
        <v>1</v>
      </c>
      <c r="B1011" s="73">
        <v>13</v>
      </c>
      <c r="C1011" s="73"/>
      <c r="D1011" s="180" t="s">
        <v>309</v>
      </c>
      <c r="E1011" s="39">
        <v>43596</v>
      </c>
      <c r="F1011" s="179">
        <v>0.375</v>
      </c>
      <c r="G1011" s="180">
        <v>2</v>
      </c>
      <c r="H1011" s="180"/>
      <c r="I1011" s="180"/>
      <c r="J1011" s="180"/>
      <c r="K1011" s="180"/>
      <c r="L1011" s="180"/>
      <c r="M1011" s="180"/>
      <c r="N1011" s="180"/>
      <c r="O1011" s="180"/>
      <c r="P1011" s="180"/>
    </row>
    <row r="1012" spans="1:55" s="2" customFormat="1" x14ac:dyDescent="0.45">
      <c r="A1012" s="180" t="s">
        <v>1</v>
      </c>
      <c r="B1012" s="73">
        <v>21</v>
      </c>
      <c r="C1012" s="73"/>
      <c r="D1012" s="180" t="s">
        <v>309</v>
      </c>
      <c r="E1012" s="39">
        <v>43596</v>
      </c>
      <c r="F1012" s="179">
        <v>0.37986111111111115</v>
      </c>
      <c r="G1012" s="180">
        <v>1</v>
      </c>
      <c r="H1012" s="180"/>
      <c r="I1012" s="180"/>
      <c r="J1012" s="180"/>
      <c r="K1012" s="180"/>
      <c r="L1012" s="180"/>
      <c r="M1012" s="180"/>
      <c r="N1012" s="180"/>
      <c r="O1012" s="180"/>
      <c r="P1012" s="180"/>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row>
    <row r="1013" spans="1:55" x14ac:dyDescent="0.45">
      <c r="A1013" s="180" t="s">
        <v>1</v>
      </c>
      <c r="B1013" s="73">
        <v>52</v>
      </c>
      <c r="C1013" s="73">
        <v>52</v>
      </c>
      <c r="D1013" s="180" t="s">
        <v>309</v>
      </c>
      <c r="E1013" s="39">
        <v>43596</v>
      </c>
      <c r="F1013" s="179">
        <v>0.87222222222222223</v>
      </c>
      <c r="G1013" s="180">
        <v>4</v>
      </c>
      <c r="H1013" s="180"/>
      <c r="I1013" s="180"/>
      <c r="J1013" s="180"/>
      <c r="K1013" s="180"/>
      <c r="L1013" s="180"/>
      <c r="M1013" s="180"/>
      <c r="N1013" s="180"/>
      <c r="O1013" s="180"/>
      <c r="P1013" s="180"/>
    </row>
    <row r="1014" spans="1:55" s="2" customFormat="1" x14ac:dyDescent="0.45">
      <c r="A1014" s="180" t="s">
        <v>1</v>
      </c>
      <c r="B1014" s="73">
        <v>10</v>
      </c>
      <c r="C1014" s="73"/>
      <c r="D1014" s="180" t="s">
        <v>324</v>
      </c>
      <c r="E1014" s="39">
        <v>43596</v>
      </c>
      <c r="F1014" s="179">
        <v>0.28333333333333333</v>
      </c>
      <c r="G1014" s="180">
        <v>2</v>
      </c>
      <c r="H1014" s="180"/>
      <c r="I1014" s="180"/>
      <c r="J1014" s="180"/>
      <c r="K1014" s="180"/>
      <c r="L1014" s="180"/>
      <c r="M1014" s="180"/>
      <c r="N1014" s="180"/>
      <c r="O1014" s="180"/>
      <c r="P1014" s="180"/>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row>
    <row r="1015" spans="1:55" x14ac:dyDescent="0.45">
      <c r="A1015" s="180" t="s">
        <v>1</v>
      </c>
      <c r="B1015" s="73">
        <v>2</v>
      </c>
      <c r="C1015" s="73"/>
      <c r="D1015" s="180" t="s">
        <v>376</v>
      </c>
      <c r="E1015" s="39">
        <v>43596</v>
      </c>
      <c r="F1015" s="179">
        <v>0.36388888888888887</v>
      </c>
      <c r="G1015" s="180">
        <v>2</v>
      </c>
      <c r="H1015" s="180"/>
      <c r="I1015" s="180"/>
      <c r="J1015" s="180"/>
      <c r="K1015" s="180"/>
      <c r="L1015" s="180"/>
      <c r="M1015" s="180"/>
      <c r="N1015" s="180"/>
      <c r="O1015" s="180"/>
      <c r="P1015" s="180"/>
    </row>
    <row r="1016" spans="1:55" x14ac:dyDescent="0.45">
      <c r="A1016" s="180" t="s">
        <v>1</v>
      </c>
      <c r="B1016" s="73">
        <v>4</v>
      </c>
      <c r="C1016" s="73"/>
      <c r="D1016" s="180" t="s">
        <v>271</v>
      </c>
      <c r="E1016" s="39">
        <v>43596</v>
      </c>
      <c r="F1016" s="179">
        <v>0.6743055555555556</v>
      </c>
      <c r="G1016" s="180">
        <v>2</v>
      </c>
      <c r="H1016" s="180"/>
      <c r="I1016" s="180"/>
      <c r="J1016" s="180"/>
      <c r="K1016" s="180"/>
      <c r="L1016" s="180"/>
      <c r="M1016" s="180"/>
      <c r="N1016" s="180"/>
      <c r="O1016" s="180"/>
      <c r="P1016" s="180"/>
    </row>
    <row r="1017" spans="1:55" x14ac:dyDescent="0.45">
      <c r="A1017" s="180" t="s">
        <v>1</v>
      </c>
      <c r="B1017" s="73">
        <v>4</v>
      </c>
      <c r="C1017" s="73"/>
      <c r="D1017" s="180" t="s">
        <v>271</v>
      </c>
      <c r="E1017" s="39">
        <v>43596</v>
      </c>
      <c r="F1017" s="179">
        <v>0.47916666666666669</v>
      </c>
      <c r="G1017" s="180">
        <v>4</v>
      </c>
      <c r="H1017" s="180" t="s">
        <v>393</v>
      </c>
      <c r="I1017" s="180"/>
      <c r="J1017" s="180"/>
      <c r="K1017" s="180"/>
      <c r="L1017" s="180"/>
      <c r="M1017" s="180"/>
      <c r="N1017" s="180"/>
      <c r="O1017" s="180"/>
      <c r="P1017" s="180"/>
    </row>
    <row r="1018" spans="1:55" s="2" customFormat="1" x14ac:dyDescent="0.45">
      <c r="A1018" s="180" t="s">
        <v>1</v>
      </c>
      <c r="B1018" s="73">
        <v>4</v>
      </c>
      <c r="C1018" s="73"/>
      <c r="D1018" s="180" t="s">
        <v>271</v>
      </c>
      <c r="E1018" s="39">
        <v>43596</v>
      </c>
      <c r="F1018" s="179">
        <v>0.33194444444444443</v>
      </c>
      <c r="G1018" s="180">
        <v>2</v>
      </c>
      <c r="H1018" s="180"/>
      <c r="I1018" s="180"/>
      <c r="J1018" s="180"/>
      <c r="K1018" s="180"/>
      <c r="L1018" s="180"/>
      <c r="M1018" s="180"/>
      <c r="N1018" s="180"/>
      <c r="O1018" s="180"/>
      <c r="P1018" s="180"/>
      <c r="Q1018"/>
      <c r="R1018"/>
      <c r="S1018"/>
      <c r="T1018"/>
      <c r="U1018"/>
      <c r="V1018"/>
      <c r="W1018"/>
      <c r="X1018"/>
      <c r="Y1018"/>
      <c r="Z1018"/>
      <c r="AA1018"/>
      <c r="AB1018"/>
      <c r="AC1018"/>
      <c r="AD1018"/>
      <c r="AE1018"/>
      <c r="AF1018"/>
      <c r="AG1018"/>
      <c r="AH1018"/>
      <c r="AI1018"/>
      <c r="AJ1018"/>
      <c r="AK1018"/>
      <c r="AL1018"/>
      <c r="AM1018"/>
      <c r="AN1018"/>
      <c r="AO1018"/>
      <c r="AP1018"/>
      <c r="AQ1018"/>
      <c r="AR1018"/>
      <c r="AS1018"/>
      <c r="AT1018"/>
      <c r="AU1018"/>
      <c r="AV1018"/>
      <c r="AW1018"/>
      <c r="AX1018"/>
      <c r="AY1018"/>
      <c r="AZ1018"/>
      <c r="BA1018"/>
      <c r="BB1018"/>
      <c r="BC1018"/>
    </row>
    <row r="1019" spans="1:55" s="2" customFormat="1" x14ac:dyDescent="0.45">
      <c r="A1019" s="180" t="s">
        <v>1</v>
      </c>
      <c r="B1019" s="73">
        <v>10</v>
      </c>
      <c r="C1019" s="73">
        <v>10</v>
      </c>
      <c r="D1019" s="180" t="s">
        <v>271</v>
      </c>
      <c r="E1019" s="39">
        <v>43596</v>
      </c>
      <c r="F1019" s="179">
        <v>0.52083333333333337</v>
      </c>
      <c r="G1019" s="180">
        <v>3</v>
      </c>
      <c r="H1019" s="180"/>
      <c r="I1019" s="180" t="s">
        <v>523</v>
      </c>
      <c r="J1019" s="180"/>
      <c r="K1019" s="180"/>
      <c r="L1019" s="180"/>
      <c r="M1019" s="180"/>
      <c r="N1019" s="180"/>
      <c r="O1019" s="180"/>
      <c r="P1019" s="180"/>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row>
    <row r="1020" spans="1:55" x14ac:dyDescent="0.45">
      <c r="A1020" s="180" t="s">
        <v>1</v>
      </c>
      <c r="B1020" s="73">
        <v>2</v>
      </c>
      <c r="C1020" s="73"/>
      <c r="D1020" s="180" t="s">
        <v>271</v>
      </c>
      <c r="E1020" s="39">
        <v>43596</v>
      </c>
      <c r="F1020" s="179">
        <v>0.53611111111111109</v>
      </c>
      <c r="G1020" s="180">
        <v>2</v>
      </c>
      <c r="H1020" s="180"/>
      <c r="I1020" s="180"/>
      <c r="J1020" s="180"/>
      <c r="K1020" s="180"/>
      <c r="L1020" s="180"/>
      <c r="M1020" s="180"/>
      <c r="N1020" s="180"/>
      <c r="O1020" s="180"/>
      <c r="P1020" s="180"/>
    </row>
    <row r="1021" spans="1:55" x14ac:dyDescent="0.45">
      <c r="A1021" s="180" t="s">
        <v>1</v>
      </c>
      <c r="B1021" s="73">
        <v>3</v>
      </c>
      <c r="C1021" s="73"/>
      <c r="D1021" s="180" t="s">
        <v>271</v>
      </c>
      <c r="E1021" s="39">
        <v>43596</v>
      </c>
      <c r="F1021" s="179">
        <v>0.4861111111111111</v>
      </c>
      <c r="G1021" s="180">
        <v>1</v>
      </c>
      <c r="H1021" s="180" t="s">
        <v>390</v>
      </c>
      <c r="I1021" s="180"/>
      <c r="J1021" s="180"/>
      <c r="K1021" s="180"/>
      <c r="L1021" s="180"/>
      <c r="M1021" s="180"/>
      <c r="N1021" s="180"/>
      <c r="O1021" s="180"/>
      <c r="P1021" s="180"/>
    </row>
    <row r="1022" spans="1:55" x14ac:dyDescent="0.45">
      <c r="A1022" s="180" t="s">
        <v>1</v>
      </c>
      <c r="B1022" s="73">
        <v>4</v>
      </c>
      <c r="C1022" s="73"/>
      <c r="D1022" s="180" t="s">
        <v>271</v>
      </c>
      <c r="E1022" s="39">
        <v>43596</v>
      </c>
      <c r="F1022" s="179">
        <v>0.5756944444444444</v>
      </c>
      <c r="G1022" s="180">
        <v>2</v>
      </c>
      <c r="H1022" s="180"/>
      <c r="I1022" s="180"/>
      <c r="J1022" s="180"/>
      <c r="K1022" s="180"/>
      <c r="L1022" s="180"/>
      <c r="M1022" s="180"/>
      <c r="N1022" s="180"/>
      <c r="O1022" s="180"/>
      <c r="P1022" s="180"/>
    </row>
    <row r="1023" spans="1:55" s="2" customFormat="1" x14ac:dyDescent="0.45">
      <c r="A1023" s="180" t="s">
        <v>1</v>
      </c>
      <c r="B1023" s="73">
        <v>4</v>
      </c>
      <c r="C1023" s="73"/>
      <c r="D1023" s="180" t="s">
        <v>271</v>
      </c>
      <c r="E1023" s="39">
        <v>43596</v>
      </c>
      <c r="F1023" s="179">
        <v>0.5756944444444444</v>
      </c>
      <c r="G1023" s="180">
        <v>2</v>
      </c>
      <c r="H1023" s="180"/>
      <c r="I1023" s="180"/>
      <c r="J1023" s="180"/>
      <c r="K1023" s="180"/>
      <c r="L1023" s="180"/>
      <c r="M1023" s="180"/>
      <c r="N1023" s="180"/>
      <c r="O1023" s="180"/>
      <c r="P1023" s="180"/>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c r="AX1023"/>
      <c r="AY1023"/>
      <c r="AZ1023"/>
      <c r="BA1023"/>
      <c r="BB1023"/>
      <c r="BC1023"/>
    </row>
    <row r="1024" spans="1:55" x14ac:dyDescent="0.45">
      <c r="A1024" s="180" t="s">
        <v>1</v>
      </c>
      <c r="B1024" s="73">
        <v>1</v>
      </c>
      <c r="C1024" s="73"/>
      <c r="D1024" s="180" t="s">
        <v>271</v>
      </c>
      <c r="E1024" s="39">
        <v>43596</v>
      </c>
      <c r="F1024" s="179">
        <v>0.5625</v>
      </c>
      <c r="G1024" s="180">
        <v>3</v>
      </c>
      <c r="H1024" s="180"/>
      <c r="I1024" s="180"/>
      <c r="J1024" s="180"/>
      <c r="K1024" s="180"/>
      <c r="L1024" s="180"/>
      <c r="M1024" s="180"/>
      <c r="N1024" s="180"/>
      <c r="O1024" s="180"/>
      <c r="P1024" s="180"/>
    </row>
    <row r="1025" spans="1:55" s="2" customFormat="1" x14ac:dyDescent="0.45">
      <c r="A1025" s="180" t="s">
        <v>1</v>
      </c>
      <c r="B1025" s="73">
        <v>3</v>
      </c>
      <c r="C1025" s="73"/>
      <c r="D1025" s="180" t="s">
        <v>271</v>
      </c>
      <c r="E1025" s="39">
        <v>43596</v>
      </c>
      <c r="F1025" s="179">
        <v>0.33333333333333331</v>
      </c>
      <c r="G1025" s="180">
        <v>10</v>
      </c>
      <c r="H1025" s="180" t="s">
        <v>325</v>
      </c>
      <c r="I1025" s="180"/>
      <c r="J1025" s="180"/>
      <c r="K1025" s="180"/>
      <c r="L1025" s="180"/>
      <c r="M1025" s="180"/>
      <c r="N1025" s="180"/>
      <c r="O1025" s="180"/>
      <c r="P1025" s="180"/>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c r="AU1025"/>
      <c r="AV1025"/>
      <c r="AW1025"/>
      <c r="AX1025"/>
      <c r="AY1025"/>
      <c r="AZ1025"/>
      <c r="BA1025"/>
      <c r="BB1025"/>
      <c r="BC1025"/>
    </row>
    <row r="1026" spans="1:55" x14ac:dyDescent="0.45">
      <c r="A1026" s="180" t="s">
        <v>1</v>
      </c>
      <c r="B1026" s="73">
        <v>8</v>
      </c>
      <c r="C1026" s="73"/>
      <c r="D1026" s="180" t="s">
        <v>394</v>
      </c>
      <c r="E1026" s="39">
        <v>43597</v>
      </c>
      <c r="F1026" s="179">
        <v>0.41736111111111113</v>
      </c>
      <c r="G1026" s="180">
        <v>1</v>
      </c>
      <c r="H1026" s="180"/>
      <c r="I1026" s="180" t="s">
        <v>517</v>
      </c>
      <c r="J1026" s="180"/>
      <c r="K1026" s="180"/>
      <c r="L1026" s="180"/>
      <c r="M1026" s="180"/>
      <c r="N1026" s="180"/>
      <c r="O1026" s="180"/>
      <c r="P1026" s="180"/>
    </row>
    <row r="1027" spans="1:55" x14ac:dyDescent="0.45">
      <c r="A1027" s="180" t="s">
        <v>1</v>
      </c>
      <c r="B1027" s="73">
        <v>8</v>
      </c>
      <c r="C1027" s="73"/>
      <c r="D1027" s="180" t="s">
        <v>394</v>
      </c>
      <c r="E1027" s="39">
        <v>43597</v>
      </c>
      <c r="F1027" s="179">
        <v>0.41736111111111113</v>
      </c>
      <c r="G1027" s="180">
        <v>1</v>
      </c>
      <c r="H1027" s="180"/>
      <c r="I1027" s="180"/>
      <c r="J1027" s="180"/>
      <c r="K1027" s="180"/>
      <c r="L1027" s="180"/>
      <c r="M1027" s="180"/>
      <c r="N1027" s="180"/>
      <c r="O1027" s="180"/>
      <c r="P1027" s="180"/>
    </row>
    <row r="1028" spans="1:55" x14ac:dyDescent="0.45">
      <c r="A1028" s="180" t="s">
        <v>1</v>
      </c>
      <c r="B1028" s="73">
        <v>1</v>
      </c>
      <c r="C1028" s="73"/>
      <c r="D1028" s="180" t="s">
        <v>366</v>
      </c>
      <c r="E1028" s="39">
        <v>43597</v>
      </c>
      <c r="F1028" s="179">
        <v>0.4055555555555555</v>
      </c>
      <c r="G1028" s="180">
        <v>1</v>
      </c>
      <c r="H1028" s="180"/>
      <c r="I1028" s="180"/>
      <c r="J1028" s="180"/>
      <c r="K1028" s="180"/>
      <c r="L1028" s="180"/>
      <c r="M1028" s="180"/>
      <c r="N1028" s="180"/>
      <c r="O1028" s="180"/>
      <c r="P1028" s="180"/>
    </row>
    <row r="1029" spans="1:55" x14ac:dyDescent="0.45">
      <c r="A1029" s="180" t="s">
        <v>1</v>
      </c>
      <c r="B1029" s="73">
        <v>7</v>
      </c>
      <c r="C1029" s="73"/>
      <c r="D1029" s="180" t="s">
        <v>128</v>
      </c>
      <c r="E1029" s="39">
        <v>43597</v>
      </c>
      <c r="F1029" s="179">
        <v>0.77430555555555547</v>
      </c>
      <c r="G1029" s="180">
        <v>6</v>
      </c>
      <c r="H1029" s="180"/>
      <c r="I1029" s="180"/>
      <c r="J1029" s="180"/>
      <c r="K1029" s="180"/>
      <c r="L1029" s="180"/>
      <c r="M1029" s="180"/>
      <c r="N1029" s="180"/>
      <c r="O1029" s="180"/>
      <c r="P1029" s="180"/>
    </row>
    <row r="1030" spans="1:55" s="2" customFormat="1" x14ac:dyDescent="0.45">
      <c r="A1030" s="180" t="s">
        <v>1</v>
      </c>
      <c r="B1030" s="73">
        <v>1</v>
      </c>
      <c r="C1030" s="73">
        <v>1</v>
      </c>
      <c r="D1030" s="180" t="s">
        <v>332</v>
      </c>
      <c r="E1030" s="39">
        <v>43597</v>
      </c>
      <c r="F1030" s="179">
        <v>0.38263888888888892</v>
      </c>
      <c r="G1030" s="180">
        <v>1</v>
      </c>
      <c r="H1030" s="180" t="s">
        <v>333</v>
      </c>
      <c r="I1030" s="180"/>
      <c r="J1030" s="180"/>
      <c r="K1030" s="180"/>
      <c r="L1030" s="180"/>
      <c r="M1030" s="180"/>
      <c r="N1030" s="180"/>
      <c r="O1030" s="180"/>
      <c r="P1030" s="180"/>
      <c r="Q1030"/>
      <c r="R1030"/>
      <c r="S1030"/>
      <c r="T1030"/>
      <c r="U1030"/>
      <c r="V1030"/>
      <c r="W1030"/>
      <c r="X1030"/>
      <c r="Y1030"/>
      <c r="Z1030"/>
      <c r="AA1030"/>
      <c r="AB1030"/>
      <c r="AC1030"/>
      <c r="AD1030"/>
      <c r="AE1030"/>
      <c r="AF1030"/>
      <c r="AG1030"/>
      <c r="AH1030"/>
      <c r="AI1030"/>
      <c r="AJ1030"/>
      <c r="AK1030"/>
      <c r="AL1030"/>
    </row>
    <row r="1031" spans="1:55" x14ac:dyDescent="0.45">
      <c r="A1031" s="180" t="s">
        <v>1</v>
      </c>
      <c r="B1031" s="73">
        <v>3</v>
      </c>
      <c r="C1031" s="73">
        <v>3</v>
      </c>
      <c r="D1031" s="180" t="s">
        <v>311</v>
      </c>
      <c r="E1031" s="39">
        <v>43597</v>
      </c>
      <c r="F1031" s="179">
        <v>0.4145833333333333</v>
      </c>
      <c r="G1031" s="180">
        <v>2</v>
      </c>
      <c r="H1031" s="180"/>
      <c r="I1031" s="180"/>
      <c r="J1031" s="180"/>
      <c r="K1031" s="180"/>
      <c r="L1031" s="180"/>
      <c r="M1031" s="180"/>
      <c r="N1031" s="180"/>
      <c r="O1031" s="180"/>
      <c r="P1031" s="180"/>
    </row>
    <row r="1032" spans="1:55" x14ac:dyDescent="0.45">
      <c r="A1032" s="180" t="s">
        <v>1</v>
      </c>
      <c r="B1032" s="73">
        <v>3</v>
      </c>
      <c r="C1032" s="73"/>
      <c r="D1032" s="180" t="s">
        <v>311</v>
      </c>
      <c r="E1032" s="39">
        <v>43597</v>
      </c>
      <c r="F1032" s="179">
        <v>0.4145833333333333</v>
      </c>
      <c r="G1032" s="180">
        <v>2</v>
      </c>
      <c r="H1032" s="180"/>
      <c r="I1032" s="180"/>
      <c r="J1032" s="180"/>
      <c r="K1032" s="180"/>
      <c r="L1032" s="180"/>
      <c r="M1032" s="180"/>
      <c r="N1032" s="180"/>
      <c r="O1032" s="180"/>
      <c r="P1032" s="180"/>
    </row>
    <row r="1033" spans="1:55" s="2" customFormat="1" x14ac:dyDescent="0.45">
      <c r="A1033" s="180" t="s">
        <v>1</v>
      </c>
      <c r="B1033" s="73">
        <v>1</v>
      </c>
      <c r="C1033" s="73"/>
      <c r="D1033" s="180" t="s">
        <v>311</v>
      </c>
      <c r="E1033" s="39">
        <v>43597</v>
      </c>
      <c r="F1033" s="179">
        <v>0.52083333333333337</v>
      </c>
      <c r="G1033" s="180">
        <v>1</v>
      </c>
      <c r="H1033" s="180" t="s">
        <v>400</v>
      </c>
      <c r="I1033" s="180"/>
      <c r="J1033" s="180"/>
      <c r="K1033" s="180"/>
      <c r="L1033" s="180"/>
      <c r="M1033" s="180"/>
      <c r="N1033" s="180"/>
      <c r="O1033" s="180"/>
      <c r="P1033" s="180"/>
      <c r="Q1033"/>
      <c r="R1033"/>
      <c r="S1033"/>
      <c r="T1033"/>
      <c r="U1033"/>
      <c r="V1033"/>
      <c r="W1033"/>
      <c r="X1033"/>
      <c r="Y1033"/>
      <c r="Z1033"/>
      <c r="AA1033"/>
      <c r="AB1033"/>
      <c r="AC1033"/>
      <c r="AD1033"/>
      <c r="AE1033"/>
      <c r="AF1033"/>
      <c r="AG1033"/>
      <c r="AH1033"/>
      <c r="AI1033"/>
      <c r="AJ1033"/>
      <c r="AK1033"/>
      <c r="AL1033"/>
    </row>
    <row r="1034" spans="1:55" x14ac:dyDescent="0.45">
      <c r="A1034" s="180" t="s">
        <v>1</v>
      </c>
      <c r="B1034" s="73">
        <v>4</v>
      </c>
      <c r="C1034" s="73">
        <v>4</v>
      </c>
      <c r="D1034" s="180" t="s">
        <v>309</v>
      </c>
      <c r="E1034" s="39">
        <v>43597</v>
      </c>
      <c r="F1034" s="179">
        <v>0.36319444444444443</v>
      </c>
      <c r="G1034" s="180">
        <v>1</v>
      </c>
      <c r="H1034" s="180"/>
      <c r="I1034" s="180"/>
      <c r="J1034" s="180"/>
      <c r="K1034" s="180"/>
      <c r="L1034" s="180"/>
      <c r="M1034" s="180"/>
      <c r="N1034" s="180"/>
      <c r="O1034" s="180"/>
      <c r="P1034" s="180"/>
    </row>
    <row r="1035" spans="1:55" x14ac:dyDescent="0.45">
      <c r="A1035" s="180" t="s">
        <v>1</v>
      </c>
      <c r="B1035" s="73">
        <v>1</v>
      </c>
      <c r="C1035" s="73"/>
      <c r="D1035" s="180" t="s">
        <v>271</v>
      </c>
      <c r="E1035" s="39">
        <v>43597</v>
      </c>
      <c r="F1035" s="179">
        <v>0.66666666666666663</v>
      </c>
      <c r="G1035" s="180">
        <v>2</v>
      </c>
      <c r="H1035" s="180"/>
      <c r="I1035" s="180"/>
      <c r="J1035" s="180"/>
      <c r="K1035" s="180"/>
      <c r="L1035" s="180"/>
      <c r="M1035" s="180"/>
      <c r="N1035" s="180"/>
      <c r="O1035" s="180"/>
      <c r="P1035" s="180"/>
    </row>
    <row r="1036" spans="1:55" x14ac:dyDescent="0.45">
      <c r="A1036" s="180" t="s">
        <v>1</v>
      </c>
      <c r="B1036" s="73">
        <v>5</v>
      </c>
      <c r="C1036" s="73">
        <v>5</v>
      </c>
      <c r="D1036" s="180" t="s">
        <v>271</v>
      </c>
      <c r="E1036" s="39">
        <v>43597</v>
      </c>
      <c r="F1036" s="179">
        <v>0.375</v>
      </c>
      <c r="G1036" s="180">
        <v>9</v>
      </c>
      <c r="H1036" s="180"/>
      <c r="I1036" s="180"/>
      <c r="J1036" s="180"/>
      <c r="K1036" s="180"/>
      <c r="L1036" s="180"/>
      <c r="M1036" s="180"/>
      <c r="N1036" s="180"/>
      <c r="O1036" s="180"/>
      <c r="P1036" s="180"/>
    </row>
    <row r="1037" spans="1:55" x14ac:dyDescent="0.45">
      <c r="A1037" s="180" t="s">
        <v>1</v>
      </c>
      <c r="B1037" s="73">
        <v>5</v>
      </c>
      <c r="C1037" s="73"/>
      <c r="D1037" s="180" t="s">
        <v>271</v>
      </c>
      <c r="E1037" s="39">
        <v>43597</v>
      </c>
      <c r="F1037" s="179">
        <v>0.375</v>
      </c>
      <c r="G1037" s="180">
        <v>9</v>
      </c>
      <c r="H1037" s="180"/>
      <c r="I1037" s="180"/>
      <c r="J1037" s="180"/>
      <c r="K1037" s="180"/>
      <c r="L1037" s="180"/>
      <c r="M1037" s="180"/>
      <c r="N1037" s="180"/>
      <c r="O1037" s="180"/>
      <c r="P1037" s="180"/>
    </row>
    <row r="1038" spans="1:55" x14ac:dyDescent="0.45">
      <c r="A1038" s="180" t="s">
        <v>1</v>
      </c>
      <c r="B1038" s="73">
        <v>2</v>
      </c>
      <c r="C1038" s="73"/>
      <c r="D1038" s="180" t="s">
        <v>271</v>
      </c>
      <c r="E1038" s="39">
        <v>43597</v>
      </c>
      <c r="F1038" s="179">
        <v>0.27291666666666664</v>
      </c>
      <c r="G1038" s="180">
        <v>1</v>
      </c>
      <c r="H1038" s="180"/>
      <c r="I1038" s="180"/>
      <c r="J1038" s="180"/>
      <c r="K1038" s="180"/>
      <c r="L1038" s="180"/>
      <c r="M1038" s="180"/>
      <c r="N1038" s="180"/>
      <c r="O1038" s="180"/>
      <c r="P1038" s="180"/>
    </row>
    <row r="1039" spans="1:55" x14ac:dyDescent="0.45">
      <c r="A1039" s="180" t="s">
        <v>1</v>
      </c>
      <c r="B1039" s="73">
        <v>5</v>
      </c>
      <c r="C1039" s="73"/>
      <c r="D1039" s="180" t="s">
        <v>271</v>
      </c>
      <c r="E1039" s="39">
        <v>43597</v>
      </c>
      <c r="F1039" s="179">
        <v>0.375</v>
      </c>
      <c r="G1039" s="180">
        <v>9</v>
      </c>
      <c r="H1039" s="180"/>
      <c r="I1039" s="180"/>
      <c r="J1039" s="180"/>
      <c r="K1039" s="180"/>
      <c r="L1039" s="180"/>
      <c r="M1039" s="180"/>
      <c r="N1039" s="180"/>
      <c r="O1039" s="180"/>
      <c r="P1039" s="180"/>
    </row>
    <row r="1040" spans="1:55" x14ac:dyDescent="0.45">
      <c r="A1040" s="180" t="s">
        <v>1</v>
      </c>
      <c r="B1040" s="73">
        <v>5</v>
      </c>
      <c r="C1040" s="73"/>
      <c r="D1040" s="180" t="s">
        <v>271</v>
      </c>
      <c r="E1040" s="39">
        <v>43597</v>
      </c>
      <c r="F1040" s="179">
        <v>0.375</v>
      </c>
      <c r="G1040" s="180">
        <v>9</v>
      </c>
      <c r="H1040" s="180"/>
      <c r="I1040" s="180"/>
      <c r="J1040" s="180"/>
      <c r="K1040" s="180"/>
      <c r="L1040" s="180"/>
      <c r="M1040" s="180"/>
      <c r="N1040" s="180"/>
      <c r="O1040" s="180"/>
      <c r="P1040" s="180"/>
    </row>
    <row r="1041" spans="1:38" x14ac:dyDescent="0.45">
      <c r="A1041" s="180" t="s">
        <v>1</v>
      </c>
      <c r="B1041" s="73">
        <v>1</v>
      </c>
      <c r="C1041" s="73">
        <v>1</v>
      </c>
      <c r="D1041" s="180" t="s">
        <v>288</v>
      </c>
      <c r="E1041" s="39">
        <v>43597</v>
      </c>
      <c r="F1041" s="179">
        <v>0.50763888888888886</v>
      </c>
      <c r="G1041" s="180">
        <v>8</v>
      </c>
      <c r="H1041" s="180" t="s">
        <v>401</v>
      </c>
      <c r="I1041" s="180"/>
      <c r="J1041" s="180"/>
      <c r="K1041" s="180"/>
      <c r="L1041" s="180"/>
      <c r="M1041" s="180"/>
      <c r="N1041" s="180"/>
      <c r="O1041" s="180"/>
      <c r="P1041" s="180"/>
    </row>
    <row r="1042" spans="1:38" x14ac:dyDescent="0.45">
      <c r="A1042" s="180" t="s">
        <v>1</v>
      </c>
      <c r="B1042" s="73">
        <v>1</v>
      </c>
      <c r="C1042" s="73"/>
      <c r="D1042" s="180" t="s">
        <v>288</v>
      </c>
      <c r="E1042" s="39">
        <v>43597</v>
      </c>
      <c r="F1042" s="179">
        <v>0.50763888888888886</v>
      </c>
      <c r="G1042" s="180">
        <v>8</v>
      </c>
      <c r="H1042" s="180" t="s">
        <v>401</v>
      </c>
      <c r="I1042" s="180"/>
      <c r="J1042" s="180"/>
      <c r="K1042" s="180"/>
      <c r="L1042" s="180"/>
      <c r="M1042" s="180"/>
      <c r="N1042" s="180"/>
      <c r="O1042" s="180"/>
      <c r="P1042" s="180"/>
    </row>
    <row r="1043" spans="1:38" x14ac:dyDescent="0.45">
      <c r="A1043" s="180" t="s">
        <v>1</v>
      </c>
      <c r="B1043" s="73">
        <v>6</v>
      </c>
      <c r="C1043" s="73"/>
      <c r="D1043" s="180" t="s">
        <v>128</v>
      </c>
      <c r="E1043" s="39">
        <v>43598</v>
      </c>
      <c r="F1043" s="179">
        <v>0.38541666666666669</v>
      </c>
      <c r="G1043" s="180">
        <v>6</v>
      </c>
      <c r="H1043" s="180" t="s">
        <v>402</v>
      </c>
      <c r="I1043" s="180"/>
      <c r="J1043" s="180"/>
      <c r="K1043" s="180"/>
      <c r="L1043" s="180"/>
      <c r="M1043" s="180"/>
      <c r="N1043" s="180"/>
      <c r="O1043" s="180"/>
      <c r="P1043" s="180"/>
    </row>
    <row r="1044" spans="1:38" x14ac:dyDescent="0.45">
      <c r="A1044" s="180" t="s">
        <v>1</v>
      </c>
      <c r="B1044" s="73">
        <v>10</v>
      </c>
      <c r="C1044" s="73"/>
      <c r="D1044" s="180" t="s">
        <v>317</v>
      </c>
      <c r="E1044" s="39">
        <v>43598</v>
      </c>
      <c r="F1044" s="179">
        <v>0.42569444444444443</v>
      </c>
      <c r="G1044" s="180">
        <v>4</v>
      </c>
      <c r="H1044" s="180" t="s">
        <v>336</v>
      </c>
      <c r="I1044" s="180"/>
      <c r="J1044" s="180"/>
      <c r="K1044" s="180"/>
      <c r="L1044" s="180"/>
      <c r="M1044" s="180"/>
      <c r="N1044" s="180"/>
      <c r="O1044" s="180"/>
      <c r="P1044" s="180"/>
    </row>
    <row r="1045" spans="1:38" x14ac:dyDescent="0.45">
      <c r="A1045" s="180" t="s">
        <v>1</v>
      </c>
      <c r="B1045" s="73">
        <v>32</v>
      </c>
      <c r="C1045" s="73">
        <v>32</v>
      </c>
      <c r="D1045" s="180" t="s">
        <v>311</v>
      </c>
      <c r="E1045" s="39">
        <v>43598</v>
      </c>
      <c r="F1045" s="179">
        <v>0.42708333333333331</v>
      </c>
      <c r="G1045" s="180">
        <v>8</v>
      </c>
      <c r="H1045" s="180" t="s">
        <v>337</v>
      </c>
      <c r="I1045" s="180"/>
      <c r="J1045" s="180"/>
      <c r="K1045" s="180"/>
      <c r="L1045" s="180"/>
      <c r="M1045" s="180"/>
      <c r="N1045" s="180"/>
      <c r="O1045" s="180"/>
      <c r="P1045" s="180"/>
    </row>
    <row r="1046" spans="1:38" s="2" customFormat="1" x14ac:dyDescent="0.45">
      <c r="A1046" s="180" t="s">
        <v>1</v>
      </c>
      <c r="B1046" s="73">
        <v>13</v>
      </c>
      <c r="C1046" s="73">
        <v>13</v>
      </c>
      <c r="D1046" s="180" t="s">
        <v>309</v>
      </c>
      <c r="E1046" s="39">
        <v>43598</v>
      </c>
      <c r="F1046" s="179">
        <v>0.42708333333333331</v>
      </c>
      <c r="G1046" s="180">
        <v>2</v>
      </c>
      <c r="H1046" s="180" t="s">
        <v>403</v>
      </c>
      <c r="I1046" s="180"/>
      <c r="J1046" s="180"/>
      <c r="K1046" s="180"/>
      <c r="L1046" s="180"/>
      <c r="M1046" s="180"/>
      <c r="N1046" s="180"/>
      <c r="O1046" s="180"/>
      <c r="P1046" s="180"/>
      <c r="Q1046"/>
      <c r="R1046"/>
      <c r="S1046"/>
      <c r="T1046"/>
      <c r="U1046"/>
      <c r="V1046"/>
      <c r="W1046"/>
      <c r="X1046"/>
      <c r="Y1046"/>
      <c r="Z1046"/>
      <c r="AA1046"/>
      <c r="AB1046"/>
      <c r="AC1046"/>
      <c r="AD1046"/>
      <c r="AE1046"/>
      <c r="AF1046"/>
      <c r="AG1046"/>
      <c r="AH1046"/>
      <c r="AI1046"/>
      <c r="AJ1046"/>
      <c r="AK1046"/>
      <c r="AL1046"/>
    </row>
    <row r="1047" spans="1:38" x14ac:dyDescent="0.45">
      <c r="A1047" s="180" t="s">
        <v>1</v>
      </c>
      <c r="B1047" s="73">
        <v>1</v>
      </c>
      <c r="C1047" s="73"/>
      <c r="D1047" s="180" t="s">
        <v>309</v>
      </c>
      <c r="E1047" s="39">
        <v>43598</v>
      </c>
      <c r="F1047" s="179">
        <v>0.4145833333333333</v>
      </c>
      <c r="G1047" s="180">
        <v>2</v>
      </c>
      <c r="H1047" s="180"/>
      <c r="I1047" s="180"/>
      <c r="J1047" s="180"/>
      <c r="K1047" s="180"/>
      <c r="L1047" s="180"/>
      <c r="M1047" s="180"/>
      <c r="N1047" s="180"/>
      <c r="O1047" s="180"/>
      <c r="P1047" s="180"/>
    </row>
    <row r="1048" spans="1:38" s="2" customFormat="1" x14ac:dyDescent="0.45">
      <c r="A1048" s="180" t="s">
        <v>1</v>
      </c>
      <c r="B1048" s="73">
        <v>1</v>
      </c>
      <c r="C1048" s="73">
        <v>1</v>
      </c>
      <c r="D1048" s="180" t="s">
        <v>318</v>
      </c>
      <c r="E1048" s="39">
        <v>43598</v>
      </c>
      <c r="F1048" s="179">
        <v>0.51041666666666663</v>
      </c>
      <c r="G1048" s="180">
        <v>3</v>
      </c>
      <c r="H1048" s="180" t="s">
        <v>316</v>
      </c>
      <c r="I1048" s="180"/>
      <c r="J1048" s="180"/>
      <c r="K1048" s="180"/>
      <c r="L1048" s="180"/>
      <c r="M1048" s="180"/>
      <c r="N1048" s="180"/>
      <c r="O1048" s="180"/>
      <c r="P1048" s="180"/>
      <c r="Q1048"/>
      <c r="R1048"/>
      <c r="S1048"/>
      <c r="T1048"/>
      <c r="U1048"/>
      <c r="V1048"/>
      <c r="W1048"/>
      <c r="X1048"/>
      <c r="Y1048"/>
      <c r="Z1048"/>
      <c r="AA1048"/>
      <c r="AB1048"/>
      <c r="AC1048"/>
      <c r="AD1048"/>
      <c r="AE1048"/>
      <c r="AF1048"/>
      <c r="AG1048"/>
      <c r="AH1048"/>
      <c r="AI1048"/>
      <c r="AJ1048"/>
      <c r="AK1048"/>
      <c r="AL1048"/>
    </row>
    <row r="1049" spans="1:38" s="2" customFormat="1" x14ac:dyDescent="0.45">
      <c r="A1049" s="180" t="s">
        <v>1</v>
      </c>
      <c r="B1049" s="73">
        <v>3</v>
      </c>
      <c r="C1049" s="73">
        <v>3</v>
      </c>
      <c r="D1049" s="180" t="s">
        <v>271</v>
      </c>
      <c r="E1049" s="39">
        <v>43598</v>
      </c>
      <c r="F1049" s="179">
        <v>0.42708333333333331</v>
      </c>
      <c r="G1049" s="180">
        <v>3</v>
      </c>
      <c r="H1049" s="180" t="s">
        <v>404</v>
      </c>
      <c r="I1049" s="180"/>
      <c r="J1049" s="180"/>
      <c r="K1049" s="180"/>
      <c r="L1049" s="180"/>
      <c r="M1049" s="180"/>
      <c r="N1049" s="180"/>
      <c r="O1049" s="180"/>
      <c r="P1049" s="180"/>
      <c r="Q1049"/>
      <c r="R1049"/>
      <c r="S1049"/>
      <c r="T1049"/>
      <c r="U1049"/>
      <c r="V1049"/>
      <c r="W1049"/>
      <c r="X1049"/>
      <c r="Y1049"/>
      <c r="Z1049"/>
      <c r="AA1049"/>
      <c r="AB1049"/>
      <c r="AC1049"/>
      <c r="AD1049"/>
      <c r="AE1049"/>
      <c r="AF1049"/>
      <c r="AG1049"/>
      <c r="AH1049"/>
      <c r="AI1049"/>
      <c r="AJ1049"/>
      <c r="AK1049"/>
      <c r="AL1049"/>
    </row>
    <row r="1050" spans="1:38" x14ac:dyDescent="0.45">
      <c r="A1050" s="180" t="s">
        <v>1</v>
      </c>
      <c r="B1050" s="73">
        <v>18</v>
      </c>
      <c r="C1050" s="73">
        <v>18</v>
      </c>
      <c r="D1050" s="180" t="s">
        <v>422</v>
      </c>
      <c r="E1050" s="39">
        <v>43598</v>
      </c>
      <c r="F1050" s="179">
        <v>0.44513888888888892</v>
      </c>
      <c r="G1050" s="180">
        <v>1</v>
      </c>
      <c r="H1050" s="180" t="s">
        <v>453</v>
      </c>
      <c r="I1050" s="180"/>
      <c r="J1050" s="180"/>
      <c r="K1050" s="180"/>
      <c r="L1050" s="180"/>
      <c r="M1050" s="180"/>
      <c r="N1050" s="180"/>
      <c r="O1050" s="180"/>
      <c r="P1050" s="180"/>
    </row>
    <row r="1051" spans="1:38" x14ac:dyDescent="0.45">
      <c r="A1051" s="180" t="s">
        <v>1</v>
      </c>
      <c r="B1051" s="73">
        <v>18</v>
      </c>
      <c r="C1051" s="73"/>
      <c r="D1051" s="180" t="s">
        <v>422</v>
      </c>
      <c r="E1051" s="39">
        <v>43598</v>
      </c>
      <c r="F1051" s="179">
        <v>0.44513888888888892</v>
      </c>
      <c r="G1051" s="180">
        <v>1</v>
      </c>
      <c r="H1051" s="180" t="s">
        <v>453</v>
      </c>
      <c r="I1051" s="180"/>
      <c r="J1051" s="180"/>
      <c r="K1051" s="180"/>
      <c r="L1051" s="180"/>
      <c r="M1051" s="180"/>
      <c r="N1051" s="180"/>
      <c r="O1051" s="180"/>
      <c r="P1051" s="180"/>
    </row>
    <row r="1052" spans="1:38" x14ac:dyDescent="0.45">
      <c r="A1052" s="180" t="s">
        <v>1</v>
      </c>
      <c r="B1052" s="73">
        <v>6</v>
      </c>
      <c r="C1052" s="73"/>
      <c r="D1052" s="180" t="s">
        <v>524</v>
      </c>
      <c r="E1052" s="39">
        <v>43599</v>
      </c>
      <c r="F1052" s="179">
        <v>0.53333333333333333</v>
      </c>
      <c r="G1052" s="180">
        <v>1</v>
      </c>
      <c r="H1052" s="180"/>
      <c r="I1052" s="180"/>
      <c r="J1052" s="180"/>
      <c r="K1052" s="180"/>
      <c r="L1052" s="180"/>
      <c r="M1052" s="180"/>
      <c r="N1052" s="180"/>
      <c r="O1052" s="180"/>
      <c r="P1052" s="180"/>
    </row>
    <row r="1053" spans="1:38" s="2" customFormat="1" x14ac:dyDescent="0.45">
      <c r="A1053" s="180" t="s">
        <v>1</v>
      </c>
      <c r="B1053" s="73">
        <v>6</v>
      </c>
      <c r="C1053" s="73">
        <v>6</v>
      </c>
      <c r="D1053" s="180" t="s">
        <v>367</v>
      </c>
      <c r="E1053" s="39">
        <v>43599</v>
      </c>
      <c r="F1053" s="179">
        <v>0.53749999999999998</v>
      </c>
      <c r="G1053" s="180">
        <v>2</v>
      </c>
      <c r="H1053" s="180"/>
      <c r="I1053" s="180"/>
      <c r="J1053" s="180"/>
      <c r="K1053" s="180"/>
      <c r="L1053" s="180"/>
      <c r="M1053" s="180"/>
      <c r="N1053" s="180"/>
      <c r="O1053" s="180"/>
      <c r="P1053" s="180"/>
      <c r="Q1053"/>
      <c r="R1053"/>
      <c r="S1053"/>
      <c r="T1053"/>
      <c r="U1053"/>
      <c r="V1053"/>
      <c r="W1053"/>
      <c r="X1053"/>
      <c r="Y1053"/>
      <c r="Z1053"/>
      <c r="AA1053"/>
      <c r="AB1053"/>
      <c r="AC1053"/>
      <c r="AD1053"/>
      <c r="AE1053"/>
      <c r="AF1053"/>
      <c r="AG1053"/>
      <c r="AH1053"/>
      <c r="AI1053"/>
      <c r="AJ1053"/>
      <c r="AK1053"/>
      <c r="AL1053"/>
    </row>
    <row r="1054" spans="1:38" x14ac:dyDescent="0.45">
      <c r="A1054" s="180" t="s">
        <v>1</v>
      </c>
      <c r="B1054" s="73">
        <v>11</v>
      </c>
      <c r="C1054" s="73">
        <v>11</v>
      </c>
      <c r="D1054" s="180" t="s">
        <v>311</v>
      </c>
      <c r="E1054" s="39">
        <v>43599</v>
      </c>
      <c r="F1054" s="179">
        <v>0.47361111111111115</v>
      </c>
      <c r="G1054" s="180">
        <v>1</v>
      </c>
      <c r="H1054" s="180"/>
      <c r="I1054" s="180"/>
      <c r="J1054" s="180"/>
      <c r="K1054" s="180"/>
      <c r="L1054" s="180"/>
      <c r="M1054" s="180"/>
      <c r="N1054" s="180"/>
      <c r="O1054" s="180"/>
      <c r="P1054" s="180"/>
    </row>
    <row r="1055" spans="1:38" s="2" customFormat="1" x14ac:dyDescent="0.45">
      <c r="A1055" s="180" t="s">
        <v>1</v>
      </c>
      <c r="B1055" s="73">
        <v>7</v>
      </c>
      <c r="C1055" s="73">
        <v>7</v>
      </c>
      <c r="D1055" s="180" t="s">
        <v>309</v>
      </c>
      <c r="E1055" s="39">
        <v>43599</v>
      </c>
      <c r="F1055" s="179">
        <v>0.48958333333333331</v>
      </c>
      <c r="G1055" s="180">
        <v>1</v>
      </c>
      <c r="H1055" s="180"/>
      <c r="I1055" s="180"/>
      <c r="J1055" s="180"/>
      <c r="K1055" s="180"/>
      <c r="L1055" s="180"/>
      <c r="M1055" s="180"/>
      <c r="N1055" s="180"/>
      <c r="O1055" s="180"/>
      <c r="P1055" s="180"/>
      <c r="Q1055"/>
      <c r="R1055"/>
      <c r="S1055"/>
      <c r="T1055"/>
      <c r="U1055"/>
      <c r="V1055"/>
      <c r="W1055"/>
      <c r="X1055"/>
      <c r="Y1055"/>
      <c r="Z1055"/>
      <c r="AA1055"/>
      <c r="AB1055"/>
      <c r="AC1055"/>
      <c r="AD1055"/>
      <c r="AE1055"/>
      <c r="AF1055"/>
      <c r="AG1055"/>
      <c r="AH1055"/>
      <c r="AI1055"/>
      <c r="AJ1055"/>
      <c r="AK1055"/>
      <c r="AL1055"/>
    </row>
    <row r="1056" spans="1:38" x14ac:dyDescent="0.45">
      <c r="A1056" s="180" t="s">
        <v>1</v>
      </c>
      <c r="B1056" s="73">
        <v>1</v>
      </c>
      <c r="C1056" s="73">
        <v>1</v>
      </c>
      <c r="D1056" s="180" t="s">
        <v>271</v>
      </c>
      <c r="E1056" s="39">
        <v>43599</v>
      </c>
      <c r="F1056" s="179">
        <v>0.50347222222222221</v>
      </c>
      <c r="G1056" s="180">
        <v>1</v>
      </c>
      <c r="H1056" s="180"/>
      <c r="I1056" s="180"/>
      <c r="J1056" s="180"/>
      <c r="K1056" s="180"/>
      <c r="L1056" s="180"/>
      <c r="M1056" s="180"/>
      <c r="N1056" s="180"/>
      <c r="O1056" s="180"/>
      <c r="P1056" s="180"/>
    </row>
    <row r="1057" spans="1:38" x14ac:dyDescent="0.45">
      <c r="A1057" s="180" t="s">
        <v>1</v>
      </c>
      <c r="B1057" s="73">
        <v>16</v>
      </c>
      <c r="C1057" s="73">
        <v>16</v>
      </c>
      <c r="D1057" s="180" t="s">
        <v>309</v>
      </c>
      <c r="E1057" s="39">
        <v>43601</v>
      </c>
      <c r="F1057" s="179">
        <v>0.54166666666666663</v>
      </c>
      <c r="G1057" s="180">
        <v>1</v>
      </c>
      <c r="H1057" s="180"/>
      <c r="I1057" s="180"/>
      <c r="J1057" s="180"/>
      <c r="K1057" s="180"/>
      <c r="L1057" s="180"/>
      <c r="M1057" s="180"/>
      <c r="N1057" s="180"/>
      <c r="O1057" s="180"/>
      <c r="P1057" s="180"/>
    </row>
    <row r="1058" spans="1:38" x14ac:dyDescent="0.45">
      <c r="A1058" s="180" t="s">
        <v>1</v>
      </c>
      <c r="B1058" s="73">
        <v>8</v>
      </c>
      <c r="C1058" s="73"/>
      <c r="D1058" s="180" t="s">
        <v>271</v>
      </c>
      <c r="E1058" s="39">
        <v>43601</v>
      </c>
      <c r="F1058" s="179">
        <v>0.45833333333333331</v>
      </c>
      <c r="G1058" s="180">
        <v>1</v>
      </c>
      <c r="H1058" s="180"/>
      <c r="I1058" s="180"/>
      <c r="J1058" s="180"/>
      <c r="K1058" s="180"/>
      <c r="L1058" s="180"/>
      <c r="M1058" s="180"/>
      <c r="N1058" s="180"/>
      <c r="O1058" s="180"/>
      <c r="P1058" s="180"/>
    </row>
    <row r="1059" spans="1:38" x14ac:dyDescent="0.45">
      <c r="A1059" s="180" t="s">
        <v>1</v>
      </c>
      <c r="B1059" s="73">
        <v>2</v>
      </c>
      <c r="C1059" s="73"/>
      <c r="D1059" s="180" t="s">
        <v>271</v>
      </c>
      <c r="E1059" s="39">
        <v>43601</v>
      </c>
      <c r="F1059" s="179">
        <v>0.70486111111111116</v>
      </c>
      <c r="G1059" s="180">
        <v>2</v>
      </c>
      <c r="H1059" s="180" t="s">
        <v>405</v>
      </c>
      <c r="I1059" s="180"/>
      <c r="J1059" s="180"/>
      <c r="K1059" s="180"/>
      <c r="L1059" s="180"/>
      <c r="M1059" s="180"/>
      <c r="N1059" s="180"/>
      <c r="O1059" s="180"/>
      <c r="P1059" s="180"/>
    </row>
    <row r="1060" spans="1:38" x14ac:dyDescent="0.45">
      <c r="A1060" s="180" t="s">
        <v>1</v>
      </c>
      <c r="B1060" s="73">
        <v>10</v>
      </c>
      <c r="C1060" s="73">
        <v>10</v>
      </c>
      <c r="D1060" s="180" t="s">
        <v>271</v>
      </c>
      <c r="E1060" s="39">
        <v>43601</v>
      </c>
      <c r="F1060" s="179">
        <v>0.54027777777777775</v>
      </c>
      <c r="G1060" s="180">
        <v>1</v>
      </c>
      <c r="H1060" s="180"/>
      <c r="I1060" s="180"/>
      <c r="J1060" s="180"/>
      <c r="K1060" s="180"/>
      <c r="L1060" s="180"/>
      <c r="M1060" s="180"/>
      <c r="N1060" s="180"/>
      <c r="O1060" s="180"/>
      <c r="P1060" s="180"/>
    </row>
    <row r="1061" spans="1:38" x14ac:dyDescent="0.45">
      <c r="A1061" s="180" t="s">
        <v>1</v>
      </c>
      <c r="B1061" s="73">
        <v>27</v>
      </c>
      <c r="C1061" s="73"/>
      <c r="D1061" s="180" t="s">
        <v>317</v>
      </c>
      <c r="E1061" s="39">
        <v>43603</v>
      </c>
      <c r="F1061" s="179">
        <v>0.70694444444444438</v>
      </c>
      <c r="G1061" s="180">
        <v>7</v>
      </c>
      <c r="H1061" s="180" t="s">
        <v>407</v>
      </c>
      <c r="I1061" s="180"/>
      <c r="J1061" s="180"/>
      <c r="K1061" s="180"/>
      <c r="L1061" s="180"/>
      <c r="M1061" s="180"/>
      <c r="N1061" s="180"/>
      <c r="O1061" s="180"/>
      <c r="P1061" s="180"/>
    </row>
    <row r="1062" spans="1:38" s="2" customFormat="1" x14ac:dyDescent="0.45">
      <c r="A1062" s="180" t="s">
        <v>1</v>
      </c>
      <c r="B1062" s="73">
        <v>27</v>
      </c>
      <c r="C1062" s="73"/>
      <c r="D1062" s="180" t="s">
        <v>317</v>
      </c>
      <c r="E1062" s="39">
        <v>43603</v>
      </c>
      <c r="F1062" s="179">
        <v>0.70694444444444438</v>
      </c>
      <c r="G1062" s="180">
        <v>7</v>
      </c>
      <c r="H1062" s="180" t="s">
        <v>407</v>
      </c>
      <c r="I1062" s="180"/>
      <c r="J1062" s="180"/>
      <c r="K1062" s="180"/>
      <c r="L1062" s="180"/>
      <c r="M1062" s="180"/>
      <c r="N1062" s="180"/>
      <c r="O1062" s="180"/>
      <c r="P1062" s="180"/>
      <c r="Q1062"/>
      <c r="R1062"/>
      <c r="S1062"/>
      <c r="T1062"/>
      <c r="U1062"/>
      <c r="V1062"/>
      <c r="W1062"/>
      <c r="X1062"/>
      <c r="Y1062"/>
      <c r="Z1062"/>
      <c r="AA1062"/>
      <c r="AB1062"/>
      <c r="AC1062"/>
      <c r="AD1062"/>
      <c r="AE1062"/>
      <c r="AF1062"/>
      <c r="AG1062"/>
      <c r="AH1062"/>
      <c r="AI1062"/>
      <c r="AJ1062"/>
      <c r="AK1062"/>
      <c r="AL1062"/>
    </row>
    <row r="1063" spans="1:38" x14ac:dyDescent="0.45">
      <c r="A1063" s="180" t="s">
        <v>1</v>
      </c>
      <c r="B1063" s="73">
        <v>27</v>
      </c>
      <c r="C1063" s="73"/>
      <c r="D1063" s="180" t="s">
        <v>317</v>
      </c>
      <c r="E1063" s="39">
        <v>43603</v>
      </c>
      <c r="F1063" s="179">
        <v>0.70694444444444438</v>
      </c>
      <c r="G1063" s="180">
        <v>7</v>
      </c>
      <c r="H1063" s="180" t="s">
        <v>407</v>
      </c>
      <c r="I1063" s="180"/>
      <c r="J1063" s="180"/>
      <c r="K1063" s="180"/>
      <c r="L1063" s="180"/>
      <c r="M1063" s="180"/>
      <c r="N1063" s="180"/>
      <c r="O1063" s="180"/>
      <c r="P1063" s="180"/>
    </row>
    <row r="1064" spans="1:38" x14ac:dyDescent="0.45">
      <c r="A1064" s="180" t="s">
        <v>1</v>
      </c>
      <c r="B1064" s="73">
        <v>13</v>
      </c>
      <c r="C1064" s="73">
        <v>13</v>
      </c>
      <c r="D1064" s="180" t="s">
        <v>332</v>
      </c>
      <c r="E1064" s="39">
        <v>43603</v>
      </c>
      <c r="F1064" s="179">
        <v>0.70833333333333337</v>
      </c>
      <c r="G1064" s="180">
        <v>4</v>
      </c>
      <c r="H1064" s="180" t="s">
        <v>272</v>
      </c>
      <c r="I1064" s="180"/>
      <c r="J1064" s="180"/>
      <c r="K1064" s="180"/>
      <c r="L1064" s="180"/>
      <c r="M1064" s="180"/>
      <c r="N1064" s="180"/>
      <c r="O1064" s="180"/>
      <c r="P1064" s="180"/>
    </row>
    <row r="1065" spans="1:38" x14ac:dyDescent="0.45">
      <c r="A1065" s="180" t="s">
        <v>1</v>
      </c>
      <c r="B1065" s="73">
        <v>13</v>
      </c>
      <c r="C1065" s="73"/>
      <c r="D1065" s="180" t="s">
        <v>332</v>
      </c>
      <c r="E1065" s="39">
        <v>43603</v>
      </c>
      <c r="F1065" s="179">
        <v>0.70833333333333337</v>
      </c>
      <c r="G1065" s="180">
        <v>4</v>
      </c>
      <c r="H1065" s="180" t="s">
        <v>272</v>
      </c>
      <c r="I1065" s="180"/>
      <c r="J1065" s="180"/>
      <c r="K1065" s="180"/>
      <c r="L1065" s="180"/>
      <c r="M1065" s="180"/>
      <c r="N1065" s="180"/>
      <c r="O1065" s="180"/>
      <c r="P1065" s="180"/>
    </row>
    <row r="1066" spans="1:38" x14ac:dyDescent="0.45">
      <c r="A1066" s="180" t="s">
        <v>1</v>
      </c>
      <c r="B1066" s="73">
        <v>55</v>
      </c>
      <c r="C1066" s="73">
        <v>55</v>
      </c>
      <c r="D1066" s="180" t="s">
        <v>311</v>
      </c>
      <c r="E1066" s="39">
        <v>43603</v>
      </c>
      <c r="F1066" s="179">
        <v>0.70833333333333337</v>
      </c>
      <c r="G1066" s="180">
        <v>11</v>
      </c>
      <c r="H1066" s="180" t="s">
        <v>408</v>
      </c>
      <c r="I1066" s="180"/>
      <c r="J1066" s="180"/>
      <c r="K1066" s="180"/>
      <c r="L1066" s="180"/>
      <c r="M1066" s="180"/>
      <c r="N1066" s="180"/>
      <c r="O1066" s="180"/>
      <c r="P1066" s="180"/>
    </row>
    <row r="1067" spans="1:38" x14ac:dyDescent="0.45">
      <c r="A1067" s="180" t="s">
        <v>1</v>
      </c>
      <c r="B1067" s="73">
        <v>5</v>
      </c>
      <c r="C1067" s="73">
        <v>5</v>
      </c>
      <c r="D1067" s="180" t="s">
        <v>309</v>
      </c>
      <c r="E1067" s="39">
        <v>43603</v>
      </c>
      <c r="F1067" s="179">
        <v>0.70833333333333337</v>
      </c>
      <c r="G1067" s="180">
        <v>2</v>
      </c>
      <c r="H1067" s="180" t="s">
        <v>272</v>
      </c>
      <c r="I1067" s="180"/>
      <c r="J1067" s="180"/>
      <c r="K1067" s="180"/>
      <c r="L1067" s="180"/>
      <c r="M1067" s="180"/>
      <c r="N1067" s="180"/>
      <c r="O1067" s="180"/>
      <c r="P1067" s="180"/>
    </row>
    <row r="1068" spans="1:38" x14ac:dyDescent="0.45">
      <c r="A1068" s="180" t="s">
        <v>1</v>
      </c>
      <c r="B1068" s="73">
        <v>11</v>
      </c>
      <c r="C1068" s="73">
        <v>11</v>
      </c>
      <c r="D1068" s="180" t="s">
        <v>271</v>
      </c>
      <c r="E1068" s="39">
        <v>43603</v>
      </c>
      <c r="F1068" s="179">
        <v>0.70833333333333337</v>
      </c>
      <c r="G1068" s="180">
        <v>3</v>
      </c>
      <c r="H1068" s="180" t="s">
        <v>272</v>
      </c>
      <c r="I1068" s="180"/>
      <c r="J1068" s="180"/>
      <c r="K1068" s="180"/>
      <c r="L1068" s="180"/>
      <c r="M1068" s="180"/>
      <c r="N1068" s="180"/>
      <c r="O1068" s="180"/>
      <c r="P1068" s="180"/>
    </row>
    <row r="1069" spans="1:38" x14ac:dyDescent="0.45">
      <c r="A1069" s="180" t="s">
        <v>1</v>
      </c>
      <c r="B1069" s="73">
        <v>1</v>
      </c>
      <c r="C1069" s="73">
        <v>1</v>
      </c>
      <c r="D1069" s="180" t="s">
        <v>367</v>
      </c>
      <c r="E1069" s="39">
        <v>43604</v>
      </c>
      <c r="F1069" s="179">
        <v>0.79861111111111116</v>
      </c>
      <c r="G1069" s="180">
        <v>1</v>
      </c>
      <c r="H1069" s="180"/>
      <c r="I1069" s="180"/>
      <c r="J1069" s="180"/>
      <c r="K1069" s="180"/>
      <c r="L1069" s="180"/>
      <c r="M1069" s="180"/>
      <c r="N1069" s="180"/>
      <c r="O1069" s="180"/>
      <c r="P1069" s="180"/>
    </row>
    <row r="1070" spans="1:38" s="2" customFormat="1" x14ac:dyDescent="0.45">
      <c r="A1070" s="180" t="s">
        <v>1</v>
      </c>
      <c r="B1070" s="73">
        <v>5</v>
      </c>
      <c r="C1070" s="73">
        <v>5</v>
      </c>
      <c r="D1070" s="180" t="s">
        <v>317</v>
      </c>
      <c r="E1070" s="39">
        <v>43605</v>
      </c>
      <c r="F1070" s="179">
        <v>0.62152777777777779</v>
      </c>
      <c r="G1070" s="180">
        <v>1</v>
      </c>
      <c r="H1070" s="180"/>
      <c r="I1070" s="180"/>
      <c r="J1070" s="180"/>
      <c r="K1070" s="180"/>
      <c r="L1070" s="180"/>
      <c r="M1070" s="180"/>
      <c r="N1070" s="180"/>
      <c r="O1070" s="180"/>
      <c r="P1070" s="180"/>
      <c r="Q1070"/>
      <c r="R1070"/>
      <c r="S1070"/>
      <c r="T1070"/>
      <c r="U1070"/>
      <c r="V1070"/>
      <c r="W1070"/>
      <c r="X1070"/>
      <c r="Y1070"/>
      <c r="Z1070"/>
      <c r="AA1070"/>
      <c r="AB1070"/>
      <c r="AC1070"/>
      <c r="AD1070"/>
      <c r="AE1070"/>
      <c r="AF1070"/>
      <c r="AG1070"/>
      <c r="AH1070"/>
      <c r="AI1070"/>
      <c r="AJ1070"/>
      <c r="AK1070"/>
      <c r="AL1070"/>
    </row>
    <row r="1071" spans="1:38" x14ac:dyDescent="0.45">
      <c r="A1071" s="180" t="s">
        <v>1</v>
      </c>
      <c r="B1071" s="73">
        <v>1</v>
      </c>
      <c r="C1071" s="73">
        <v>1</v>
      </c>
      <c r="D1071" s="180" t="s">
        <v>271</v>
      </c>
      <c r="E1071" s="39">
        <v>43605</v>
      </c>
      <c r="F1071" s="179">
        <v>0.49444444444444446</v>
      </c>
      <c r="G1071" s="180">
        <v>1</v>
      </c>
      <c r="H1071" s="180"/>
      <c r="I1071" s="180"/>
      <c r="J1071" s="180"/>
      <c r="K1071" s="180"/>
      <c r="L1071" s="180"/>
      <c r="M1071" s="180"/>
      <c r="N1071" s="180"/>
      <c r="O1071" s="180"/>
      <c r="P1071" s="180"/>
    </row>
    <row r="1072" spans="1:38" x14ac:dyDescent="0.45">
      <c r="A1072" s="180" t="s">
        <v>1</v>
      </c>
      <c r="B1072" s="73">
        <v>3</v>
      </c>
      <c r="C1072" s="73">
        <v>3</v>
      </c>
      <c r="D1072" s="180" t="s">
        <v>128</v>
      </c>
      <c r="E1072" s="39">
        <v>43606</v>
      </c>
      <c r="F1072" s="179">
        <v>0.54166666666666663</v>
      </c>
      <c r="G1072" s="180">
        <v>2</v>
      </c>
      <c r="H1072" s="180"/>
      <c r="I1072" s="180"/>
      <c r="J1072" s="180"/>
      <c r="K1072" s="180"/>
      <c r="L1072" s="180"/>
      <c r="M1072" s="180"/>
      <c r="N1072" s="180"/>
      <c r="O1072" s="180"/>
      <c r="P1072" s="180"/>
    </row>
    <row r="1073" spans="1:38" s="2" customFormat="1" x14ac:dyDescent="0.45">
      <c r="A1073" s="180" t="s">
        <v>1</v>
      </c>
      <c r="B1073" s="73">
        <v>3</v>
      </c>
      <c r="C1073" s="73"/>
      <c r="D1073" s="180" t="s">
        <v>128</v>
      </c>
      <c r="E1073" s="39">
        <v>43606</v>
      </c>
      <c r="F1073" s="179">
        <v>0.54166666666666663</v>
      </c>
      <c r="G1073" s="180">
        <v>2</v>
      </c>
      <c r="H1073" s="180"/>
      <c r="I1073" s="180"/>
      <c r="J1073" s="180"/>
      <c r="K1073" s="180"/>
      <c r="L1073" s="180"/>
      <c r="M1073" s="180"/>
      <c r="N1073" s="180"/>
      <c r="O1073" s="180"/>
      <c r="P1073" s="180"/>
      <c r="Q1073"/>
      <c r="R1073"/>
      <c r="S1073"/>
      <c r="T1073"/>
      <c r="U1073"/>
      <c r="V1073"/>
      <c r="W1073"/>
      <c r="X1073"/>
      <c r="Y1073"/>
      <c r="Z1073"/>
      <c r="AA1073"/>
      <c r="AB1073"/>
      <c r="AC1073"/>
      <c r="AD1073"/>
      <c r="AE1073"/>
      <c r="AF1073"/>
      <c r="AG1073"/>
      <c r="AH1073"/>
      <c r="AI1073"/>
      <c r="AJ1073"/>
      <c r="AK1073"/>
      <c r="AL1073"/>
    </row>
    <row r="1074" spans="1:38" x14ac:dyDescent="0.45">
      <c r="A1074" s="180" t="s">
        <v>1</v>
      </c>
      <c r="B1074" s="73">
        <v>3</v>
      </c>
      <c r="C1074" s="73"/>
      <c r="D1074" s="180" t="s">
        <v>128</v>
      </c>
      <c r="E1074" s="39">
        <v>43606</v>
      </c>
      <c r="F1074" s="179">
        <v>0.54166666666666663</v>
      </c>
      <c r="G1074" s="180">
        <v>2</v>
      </c>
      <c r="H1074" s="180"/>
      <c r="I1074" s="180"/>
      <c r="J1074" s="180"/>
      <c r="K1074" s="180"/>
      <c r="L1074" s="180"/>
      <c r="M1074" s="180"/>
      <c r="N1074" s="180"/>
      <c r="O1074" s="180"/>
      <c r="P1074" s="180"/>
    </row>
    <row r="1075" spans="1:38" x14ac:dyDescent="0.45">
      <c r="A1075" s="180" t="s">
        <v>1</v>
      </c>
      <c r="B1075" s="73">
        <v>2</v>
      </c>
      <c r="C1075" s="73"/>
      <c r="D1075" s="180" t="s">
        <v>317</v>
      </c>
      <c r="E1075" s="39">
        <v>43606</v>
      </c>
      <c r="F1075" s="179">
        <v>0.6069444444444444</v>
      </c>
      <c r="G1075" s="180">
        <v>2</v>
      </c>
      <c r="H1075" s="180"/>
      <c r="I1075" s="180"/>
      <c r="J1075" s="180"/>
      <c r="K1075" s="180"/>
      <c r="L1075" s="180"/>
      <c r="M1075" s="180"/>
      <c r="N1075" s="180"/>
      <c r="O1075" s="180"/>
      <c r="P1075" s="180"/>
    </row>
    <row r="1076" spans="1:38" x14ac:dyDescent="0.45">
      <c r="A1076" s="180" t="s">
        <v>1</v>
      </c>
      <c r="B1076" s="73">
        <v>16</v>
      </c>
      <c r="C1076" s="73"/>
      <c r="D1076" s="180" t="s">
        <v>317</v>
      </c>
      <c r="E1076" s="39">
        <v>43608</v>
      </c>
      <c r="F1076" s="179">
        <v>0.81111111111111101</v>
      </c>
      <c r="G1076" s="180">
        <v>4</v>
      </c>
      <c r="H1076" s="180" t="s">
        <v>476</v>
      </c>
      <c r="I1076" s="180"/>
      <c r="J1076" s="180"/>
      <c r="K1076" s="180"/>
      <c r="L1076" s="180"/>
      <c r="M1076" s="180"/>
      <c r="N1076" s="180"/>
      <c r="O1076" s="180"/>
      <c r="P1076" s="180"/>
    </row>
    <row r="1077" spans="1:38" x14ac:dyDescent="0.45">
      <c r="A1077" s="180" t="s">
        <v>1</v>
      </c>
      <c r="B1077" s="73">
        <v>16</v>
      </c>
      <c r="C1077" s="73"/>
      <c r="D1077" s="180" t="s">
        <v>317</v>
      </c>
      <c r="E1077" s="39">
        <v>43608</v>
      </c>
      <c r="F1077" s="179">
        <v>0.81111111111111101</v>
      </c>
      <c r="G1077" s="180">
        <v>4</v>
      </c>
      <c r="H1077" s="180" t="s">
        <v>476</v>
      </c>
      <c r="I1077" s="180"/>
      <c r="J1077" s="180"/>
      <c r="K1077" s="180"/>
      <c r="L1077" s="180"/>
      <c r="M1077" s="180"/>
      <c r="N1077" s="180"/>
      <c r="O1077" s="180"/>
      <c r="P1077" s="180"/>
    </row>
    <row r="1078" spans="1:38" x14ac:dyDescent="0.45">
      <c r="A1078" s="180" t="s">
        <v>1</v>
      </c>
      <c r="B1078" s="73">
        <v>16</v>
      </c>
      <c r="C1078" s="73"/>
      <c r="D1078" s="180" t="s">
        <v>317</v>
      </c>
      <c r="E1078" s="39">
        <v>43608</v>
      </c>
      <c r="F1078" s="179">
        <v>0.81111111111111101</v>
      </c>
      <c r="G1078" s="180">
        <v>4</v>
      </c>
      <c r="H1078" s="180" t="s">
        <v>476</v>
      </c>
      <c r="I1078" s="180"/>
      <c r="J1078" s="180"/>
      <c r="K1078" s="180"/>
      <c r="L1078" s="180"/>
      <c r="M1078" s="180"/>
      <c r="N1078" s="180"/>
      <c r="O1078" s="180"/>
      <c r="P1078" s="180"/>
    </row>
    <row r="1079" spans="1:38" x14ac:dyDescent="0.45">
      <c r="A1079" s="180" t="s">
        <v>1</v>
      </c>
      <c r="B1079" s="73">
        <v>31</v>
      </c>
      <c r="C1079" s="73">
        <v>31</v>
      </c>
      <c r="D1079" s="180" t="s">
        <v>311</v>
      </c>
      <c r="E1079" s="39">
        <v>43608</v>
      </c>
      <c r="F1079" s="179">
        <v>0.8125</v>
      </c>
      <c r="G1079" s="180">
        <v>9</v>
      </c>
      <c r="H1079" s="180" t="s">
        <v>303</v>
      </c>
      <c r="I1079" s="180"/>
      <c r="J1079" s="180"/>
      <c r="K1079" s="180"/>
      <c r="L1079" s="180"/>
      <c r="M1079" s="180"/>
      <c r="N1079" s="180"/>
      <c r="O1079" s="180"/>
      <c r="P1079" s="180"/>
    </row>
    <row r="1080" spans="1:38" x14ac:dyDescent="0.45">
      <c r="A1080" s="180" t="s">
        <v>1</v>
      </c>
      <c r="B1080" s="73">
        <v>2</v>
      </c>
      <c r="C1080" s="73">
        <v>2</v>
      </c>
      <c r="D1080" s="180" t="s">
        <v>318</v>
      </c>
      <c r="E1080" s="39">
        <v>43608</v>
      </c>
      <c r="F1080" s="179">
        <v>0.8125</v>
      </c>
      <c r="G1080" s="180">
        <v>2</v>
      </c>
      <c r="H1080" s="180" t="s">
        <v>497</v>
      </c>
      <c r="I1080" s="180" t="s">
        <v>525</v>
      </c>
      <c r="J1080" s="180"/>
      <c r="K1080" s="180"/>
      <c r="L1080" s="180"/>
      <c r="M1080" s="180"/>
      <c r="N1080" s="180"/>
      <c r="O1080" s="180"/>
      <c r="P1080" s="180"/>
    </row>
    <row r="1081" spans="1:38" x14ac:dyDescent="0.45">
      <c r="A1081" s="180" t="s">
        <v>1</v>
      </c>
      <c r="B1081" s="73">
        <v>2</v>
      </c>
      <c r="C1081" s="73"/>
      <c r="D1081" s="180" t="s">
        <v>318</v>
      </c>
      <c r="E1081" s="39">
        <v>43608</v>
      </c>
      <c r="F1081" s="179">
        <v>0.8125</v>
      </c>
      <c r="G1081" s="180">
        <v>2</v>
      </c>
      <c r="H1081" s="180" t="s">
        <v>303</v>
      </c>
      <c r="I1081" s="180"/>
      <c r="J1081" s="180"/>
      <c r="K1081" s="180"/>
      <c r="L1081" s="180"/>
      <c r="M1081" s="180"/>
      <c r="N1081" s="180"/>
      <c r="O1081" s="180"/>
      <c r="P1081" s="180"/>
    </row>
    <row r="1082" spans="1:38" s="2" customFormat="1" x14ac:dyDescent="0.45">
      <c r="A1082" s="180" t="s">
        <v>1</v>
      </c>
      <c r="B1082" s="73">
        <v>3</v>
      </c>
      <c r="C1082" s="73"/>
      <c r="D1082" s="180" t="s">
        <v>367</v>
      </c>
      <c r="E1082" s="39">
        <v>43609</v>
      </c>
      <c r="F1082" s="179">
        <v>0.36874999999999997</v>
      </c>
      <c r="G1082" s="180">
        <v>1</v>
      </c>
      <c r="H1082" s="180"/>
      <c r="I1082" s="180"/>
      <c r="J1082" s="180"/>
      <c r="K1082" s="180"/>
      <c r="L1082" s="180"/>
      <c r="M1082" s="180"/>
      <c r="N1082" s="180"/>
      <c r="O1082" s="180"/>
      <c r="P1082" s="180"/>
      <c r="Q1082"/>
      <c r="R1082"/>
      <c r="S1082"/>
      <c r="T1082"/>
      <c r="U1082"/>
      <c r="V1082"/>
      <c r="W1082"/>
      <c r="X1082"/>
      <c r="Y1082"/>
      <c r="Z1082"/>
      <c r="AA1082"/>
      <c r="AB1082"/>
      <c r="AC1082"/>
      <c r="AD1082"/>
      <c r="AE1082"/>
      <c r="AF1082"/>
      <c r="AG1082"/>
      <c r="AH1082"/>
      <c r="AI1082"/>
      <c r="AJ1082"/>
    </row>
    <row r="1083" spans="1:38" x14ac:dyDescent="0.45">
      <c r="A1083" s="180" t="s">
        <v>1</v>
      </c>
      <c r="B1083" s="73">
        <v>4</v>
      </c>
      <c r="C1083" s="73">
        <v>4</v>
      </c>
      <c r="D1083" s="180" t="s">
        <v>367</v>
      </c>
      <c r="E1083" s="39">
        <v>43609</v>
      </c>
      <c r="F1083" s="179">
        <v>0.41944444444444445</v>
      </c>
      <c r="G1083" s="180">
        <v>2</v>
      </c>
      <c r="H1083" s="180"/>
      <c r="I1083" s="180"/>
      <c r="J1083" s="180"/>
      <c r="K1083" s="180"/>
      <c r="L1083" s="180"/>
      <c r="M1083" s="180"/>
      <c r="N1083" s="180"/>
      <c r="O1083" s="180"/>
      <c r="P1083" s="180"/>
    </row>
    <row r="1084" spans="1:38" x14ac:dyDescent="0.45">
      <c r="A1084" s="180" t="s">
        <v>1</v>
      </c>
      <c r="B1084" s="73">
        <v>4</v>
      </c>
      <c r="C1084" s="73"/>
      <c r="D1084" s="180" t="s">
        <v>367</v>
      </c>
      <c r="E1084" s="39">
        <v>43609</v>
      </c>
      <c r="F1084" s="179">
        <v>0.41944444444444445</v>
      </c>
      <c r="G1084" s="180">
        <v>2</v>
      </c>
      <c r="H1084" s="180"/>
      <c r="I1084" s="180"/>
      <c r="J1084" s="180"/>
      <c r="K1084" s="180"/>
      <c r="L1084" s="180"/>
      <c r="M1084" s="180"/>
      <c r="N1084" s="180"/>
      <c r="O1084" s="180"/>
      <c r="P1084" s="180"/>
    </row>
    <row r="1085" spans="1:38" x14ac:dyDescent="0.45">
      <c r="A1085" s="1" t="s">
        <v>273</v>
      </c>
      <c r="B1085" s="73"/>
      <c r="C1085" s="73">
        <f>SUM(C959:C1084)</f>
        <v>382</v>
      </c>
      <c r="D1085" s="180"/>
      <c r="E1085" s="39"/>
      <c r="F1085" s="179"/>
      <c r="G1085" s="180"/>
      <c r="H1085" s="180"/>
      <c r="I1085" s="180"/>
      <c r="J1085" s="180"/>
      <c r="K1085" s="180"/>
      <c r="L1085" s="180"/>
      <c r="M1085" s="180"/>
      <c r="N1085" s="180"/>
      <c r="O1085" s="180"/>
      <c r="P1085" s="180"/>
    </row>
    <row r="1086" spans="1:38" x14ac:dyDescent="0.45">
      <c r="A1086" s="180"/>
      <c r="B1086" s="73"/>
      <c r="C1086" s="73"/>
      <c r="D1086" s="180"/>
      <c r="E1086" s="39"/>
      <c r="F1086" s="179"/>
      <c r="G1086" s="180"/>
      <c r="H1086" s="180"/>
      <c r="I1086" s="180"/>
      <c r="J1086" s="180"/>
      <c r="K1086" s="180"/>
      <c r="L1086" s="180"/>
      <c r="M1086" s="180"/>
      <c r="N1086" s="180"/>
      <c r="O1086" s="180"/>
      <c r="P1086" s="180"/>
    </row>
    <row r="1087" spans="1:38" x14ac:dyDescent="0.45">
      <c r="A1087" s="180" t="s">
        <v>32</v>
      </c>
      <c r="B1087" s="73">
        <v>3</v>
      </c>
      <c r="C1087" s="73">
        <v>3</v>
      </c>
      <c r="D1087" s="180" t="s">
        <v>271</v>
      </c>
      <c r="E1087" s="39">
        <v>43593</v>
      </c>
      <c r="F1087" s="179">
        <v>0.68611111111111101</v>
      </c>
      <c r="G1087" s="180">
        <v>1</v>
      </c>
      <c r="H1087" s="180"/>
      <c r="I1087" s="180"/>
      <c r="J1087" s="180"/>
      <c r="K1087" s="180"/>
      <c r="L1087" s="180"/>
      <c r="M1087" s="180"/>
      <c r="N1087" s="180"/>
      <c r="O1087" s="180"/>
      <c r="P1087" s="180"/>
    </row>
    <row r="1088" spans="1:38" x14ac:dyDescent="0.45">
      <c r="A1088" s="180" t="s">
        <v>32</v>
      </c>
      <c r="B1088" s="73">
        <v>1</v>
      </c>
      <c r="C1088" s="73">
        <v>1</v>
      </c>
      <c r="D1088" s="180" t="s">
        <v>429</v>
      </c>
      <c r="E1088" s="39">
        <v>43595</v>
      </c>
      <c r="F1088" s="179">
        <v>0.30833333333333335</v>
      </c>
      <c r="G1088" s="180">
        <v>10</v>
      </c>
      <c r="H1088" s="180" t="s">
        <v>496</v>
      </c>
      <c r="I1088" s="180"/>
      <c r="J1088" s="180"/>
      <c r="K1088" s="180"/>
      <c r="L1088" s="180"/>
      <c r="M1088" s="180"/>
      <c r="N1088" s="180"/>
      <c r="O1088" s="180"/>
      <c r="P1088" s="180"/>
    </row>
    <row r="1089" spans="1:16" x14ac:dyDescent="0.45">
      <c r="A1089" s="180" t="s">
        <v>32</v>
      </c>
      <c r="B1089" s="73">
        <v>10</v>
      </c>
      <c r="C1089" s="73"/>
      <c r="D1089" s="180" t="s">
        <v>380</v>
      </c>
      <c r="E1089" s="39">
        <v>43596</v>
      </c>
      <c r="F1089" s="179">
        <v>0.64027777777777783</v>
      </c>
      <c r="G1089" s="180">
        <v>1</v>
      </c>
      <c r="H1089" s="180"/>
      <c r="I1089" s="180"/>
      <c r="J1089" s="180"/>
      <c r="K1089" s="180"/>
      <c r="L1089" s="180"/>
      <c r="M1089" s="180"/>
      <c r="N1089" s="180"/>
      <c r="O1089" s="180"/>
      <c r="P1089" s="180"/>
    </row>
    <row r="1090" spans="1:16" x14ac:dyDescent="0.45">
      <c r="A1090" s="180" t="s">
        <v>32</v>
      </c>
      <c r="B1090" s="73">
        <v>10</v>
      </c>
      <c r="C1090" s="73"/>
      <c r="D1090" s="180" t="s">
        <v>380</v>
      </c>
      <c r="E1090" s="39">
        <v>43596</v>
      </c>
      <c r="F1090" s="179">
        <v>0.64027777777777783</v>
      </c>
      <c r="G1090" s="180">
        <v>1</v>
      </c>
      <c r="H1090" s="180"/>
      <c r="I1090" s="180"/>
      <c r="J1090" s="180"/>
      <c r="K1090" s="180"/>
      <c r="L1090" s="180"/>
      <c r="M1090" s="180"/>
      <c r="N1090" s="180"/>
      <c r="O1090" s="180"/>
      <c r="P1090" s="180"/>
    </row>
    <row r="1091" spans="1:16" x14ac:dyDescent="0.45">
      <c r="A1091" s="180" t="s">
        <v>32</v>
      </c>
      <c r="B1091" s="73">
        <v>10</v>
      </c>
      <c r="C1091" s="73"/>
      <c r="D1091" s="180" t="s">
        <v>442</v>
      </c>
      <c r="E1091" s="39">
        <v>43596</v>
      </c>
      <c r="F1091" s="179">
        <v>0.5395833333333333</v>
      </c>
      <c r="G1091" s="180">
        <v>1</v>
      </c>
      <c r="H1091" s="180"/>
      <c r="I1091" s="180"/>
      <c r="J1091" s="180"/>
      <c r="K1091" s="180"/>
      <c r="L1091" s="180"/>
      <c r="M1091" s="180"/>
      <c r="N1091" s="180"/>
      <c r="O1091" s="180"/>
      <c r="P1091" s="180"/>
    </row>
    <row r="1092" spans="1:16" x14ac:dyDescent="0.45">
      <c r="A1092" s="180" t="s">
        <v>32</v>
      </c>
      <c r="B1092" s="73">
        <v>10</v>
      </c>
      <c r="C1092" s="73">
        <v>10</v>
      </c>
      <c r="D1092" s="180" t="s">
        <v>309</v>
      </c>
      <c r="E1092" s="39">
        <v>43596</v>
      </c>
      <c r="F1092" s="179">
        <v>0.79513888888888884</v>
      </c>
      <c r="G1092" s="180">
        <v>1</v>
      </c>
      <c r="H1092" s="180" t="s">
        <v>387</v>
      </c>
      <c r="I1092" s="180"/>
      <c r="J1092" s="180"/>
      <c r="K1092" s="180"/>
      <c r="L1092" s="180"/>
      <c r="M1092" s="180"/>
      <c r="N1092" s="180"/>
      <c r="O1092" s="180"/>
      <c r="P1092" s="180"/>
    </row>
    <row r="1093" spans="1:16" x14ac:dyDescent="0.45">
      <c r="A1093" s="180" t="s">
        <v>32</v>
      </c>
      <c r="B1093" s="73">
        <v>2</v>
      </c>
      <c r="C1093" s="73">
        <v>2</v>
      </c>
      <c r="D1093" s="180" t="s">
        <v>309</v>
      </c>
      <c r="E1093" s="39">
        <v>43596</v>
      </c>
      <c r="F1093" s="179">
        <v>0.32291666666666669</v>
      </c>
      <c r="G1093" s="180">
        <v>1</v>
      </c>
      <c r="H1093" s="180" t="s">
        <v>364</v>
      </c>
      <c r="I1093" s="180"/>
      <c r="J1093" s="180"/>
      <c r="K1093" s="180"/>
      <c r="L1093" s="180"/>
      <c r="M1093" s="180"/>
      <c r="N1093" s="180"/>
      <c r="O1093" s="180"/>
      <c r="P1093" s="180"/>
    </row>
    <row r="1094" spans="1:16" x14ac:dyDescent="0.45">
      <c r="A1094" s="180" t="s">
        <v>32</v>
      </c>
      <c r="B1094" s="73">
        <v>1</v>
      </c>
      <c r="C1094" s="73"/>
      <c r="D1094" s="180" t="s">
        <v>309</v>
      </c>
      <c r="E1094" s="39">
        <v>43596</v>
      </c>
      <c r="F1094" s="179">
        <v>0.32569444444444445</v>
      </c>
      <c r="G1094" s="180">
        <v>3</v>
      </c>
      <c r="H1094" s="180" t="s">
        <v>361</v>
      </c>
      <c r="I1094" s="180"/>
      <c r="J1094" s="180"/>
      <c r="K1094" s="180"/>
      <c r="L1094" s="180"/>
      <c r="M1094" s="180"/>
      <c r="N1094" s="180"/>
      <c r="O1094" s="180"/>
      <c r="P1094" s="180"/>
    </row>
    <row r="1095" spans="1:16" x14ac:dyDescent="0.45">
      <c r="A1095" s="180" t="s">
        <v>32</v>
      </c>
      <c r="B1095" s="73">
        <v>1</v>
      </c>
      <c r="C1095" s="73"/>
      <c r="D1095" s="180" t="s">
        <v>324</v>
      </c>
      <c r="E1095" s="39">
        <v>43596</v>
      </c>
      <c r="F1095" s="179">
        <v>0.28333333333333333</v>
      </c>
      <c r="G1095" s="180">
        <v>2</v>
      </c>
      <c r="H1095" s="180"/>
      <c r="I1095" s="180"/>
      <c r="J1095" s="180"/>
      <c r="K1095" s="180"/>
      <c r="L1095" s="180"/>
      <c r="M1095" s="180"/>
      <c r="N1095" s="180"/>
      <c r="O1095" s="180"/>
      <c r="P1095" s="180"/>
    </row>
    <row r="1096" spans="1:16" x14ac:dyDescent="0.45">
      <c r="A1096" s="180" t="s">
        <v>32</v>
      </c>
      <c r="B1096" s="73">
        <v>1</v>
      </c>
      <c r="C1096" s="73"/>
      <c r="D1096" s="180" t="s">
        <v>271</v>
      </c>
      <c r="E1096" s="39">
        <v>43596</v>
      </c>
      <c r="F1096" s="179">
        <v>0.6743055555555556</v>
      </c>
      <c r="G1096" s="180">
        <v>2</v>
      </c>
      <c r="H1096" s="180"/>
      <c r="I1096" s="180"/>
      <c r="J1096" s="180"/>
      <c r="K1096" s="180"/>
      <c r="L1096" s="180"/>
      <c r="M1096" s="180"/>
      <c r="N1096" s="180"/>
      <c r="O1096" s="180"/>
      <c r="P1096" s="180"/>
    </row>
    <row r="1097" spans="1:16" x14ac:dyDescent="0.45">
      <c r="A1097" s="180" t="s">
        <v>32</v>
      </c>
      <c r="B1097" s="73">
        <v>2</v>
      </c>
      <c r="C1097" s="73">
        <v>2</v>
      </c>
      <c r="D1097" s="180" t="s">
        <v>271</v>
      </c>
      <c r="E1097" s="39">
        <v>43596</v>
      </c>
      <c r="F1097" s="179">
        <v>0.52083333333333337</v>
      </c>
      <c r="G1097" s="180">
        <v>3</v>
      </c>
      <c r="H1097" s="180"/>
      <c r="I1097" s="180"/>
      <c r="J1097" s="180"/>
      <c r="K1097" s="180"/>
      <c r="L1097" s="180"/>
      <c r="M1097" s="180"/>
      <c r="N1097" s="180"/>
      <c r="O1097" s="180"/>
      <c r="P1097" s="180"/>
    </row>
    <row r="1098" spans="1:16" x14ac:dyDescent="0.45">
      <c r="A1098" s="180" t="s">
        <v>32</v>
      </c>
      <c r="B1098" s="73">
        <v>2</v>
      </c>
      <c r="C1098" s="73">
        <v>2</v>
      </c>
      <c r="D1098" s="180" t="s">
        <v>271</v>
      </c>
      <c r="E1098" s="39">
        <v>43600</v>
      </c>
      <c r="F1098" s="179">
        <v>0.59027777777777779</v>
      </c>
      <c r="G1098" s="180">
        <v>2</v>
      </c>
      <c r="H1098" s="180"/>
      <c r="I1098" s="180"/>
      <c r="J1098" s="180"/>
      <c r="K1098" s="180"/>
      <c r="L1098" s="180"/>
      <c r="M1098" s="180"/>
      <c r="N1098" s="180"/>
      <c r="O1098" s="180"/>
      <c r="P1098" s="180"/>
    </row>
    <row r="1099" spans="1:16" x14ac:dyDescent="0.45">
      <c r="A1099" s="180" t="s">
        <v>32</v>
      </c>
      <c r="B1099" s="73">
        <v>5</v>
      </c>
      <c r="C1099" s="73">
        <v>5</v>
      </c>
      <c r="D1099" s="180" t="s">
        <v>271</v>
      </c>
      <c r="E1099" s="39">
        <v>43601</v>
      </c>
      <c r="F1099" s="179">
        <v>0.45833333333333331</v>
      </c>
      <c r="G1099" s="180">
        <v>1</v>
      </c>
      <c r="H1099" s="180"/>
      <c r="I1099" s="180"/>
      <c r="J1099" s="180"/>
      <c r="K1099" s="180"/>
      <c r="L1099" s="180"/>
      <c r="M1099" s="180"/>
      <c r="N1099" s="180"/>
      <c r="O1099" s="180"/>
      <c r="P1099" s="180"/>
    </row>
    <row r="1100" spans="1:16" x14ac:dyDescent="0.45">
      <c r="A1100" s="180" t="s">
        <v>32</v>
      </c>
      <c r="B1100" s="73">
        <v>6</v>
      </c>
      <c r="C1100" s="73">
        <v>6</v>
      </c>
      <c r="D1100" s="180" t="s">
        <v>309</v>
      </c>
      <c r="E1100" s="39">
        <v>43608</v>
      </c>
      <c r="F1100" s="179">
        <v>0.8125</v>
      </c>
      <c r="G1100" s="180">
        <v>3</v>
      </c>
      <c r="H1100" s="180" t="s">
        <v>303</v>
      </c>
      <c r="I1100" s="180"/>
      <c r="J1100" s="180"/>
      <c r="K1100" s="180"/>
      <c r="L1100" s="180"/>
      <c r="M1100" s="180"/>
      <c r="N1100" s="180"/>
      <c r="O1100" s="180"/>
      <c r="P1100" s="180"/>
    </row>
    <row r="1101" spans="1:16" x14ac:dyDescent="0.45">
      <c r="A1101" s="1" t="s">
        <v>273</v>
      </c>
      <c r="B1101" s="73"/>
      <c r="C1101" s="73">
        <f>SUM(C1087:C1100)</f>
        <v>31</v>
      </c>
      <c r="D1101" s="180"/>
      <c r="E1101" s="39"/>
      <c r="F1101" s="179"/>
      <c r="G1101" s="180"/>
      <c r="H1101" s="180"/>
      <c r="I1101" s="180"/>
      <c r="J1101" s="180"/>
      <c r="K1101" s="180"/>
      <c r="L1101" s="180"/>
      <c r="M1101" s="180"/>
      <c r="N1101" s="180"/>
      <c r="O1101" s="180"/>
      <c r="P1101" s="180"/>
    </row>
    <row r="1102" spans="1:16" x14ac:dyDescent="0.45">
      <c r="A1102" s="180"/>
      <c r="B1102" s="73"/>
      <c r="C1102" s="73"/>
      <c r="D1102" s="180"/>
      <c r="E1102" s="39"/>
      <c r="F1102" s="179"/>
      <c r="G1102" s="180"/>
      <c r="H1102" s="180"/>
      <c r="I1102" s="180"/>
      <c r="J1102" s="180"/>
      <c r="K1102" s="180"/>
      <c r="L1102" s="180"/>
      <c r="M1102" s="180"/>
      <c r="N1102" s="180"/>
      <c r="O1102" s="180"/>
      <c r="P1102" s="180"/>
    </row>
    <row r="1103" spans="1:16" x14ac:dyDescent="0.45">
      <c r="A1103" s="180" t="s">
        <v>218</v>
      </c>
      <c r="B1103" s="73">
        <v>78</v>
      </c>
      <c r="C1103" s="73">
        <v>78</v>
      </c>
      <c r="D1103" s="180" t="s">
        <v>437</v>
      </c>
      <c r="E1103" s="39">
        <v>43593</v>
      </c>
      <c r="F1103" s="179">
        <v>0.65486111111111112</v>
      </c>
      <c r="G1103" s="180">
        <v>1</v>
      </c>
      <c r="H1103" s="180"/>
      <c r="I1103" s="180"/>
      <c r="J1103" s="180"/>
      <c r="K1103" s="180"/>
      <c r="L1103" s="180"/>
      <c r="M1103" s="180"/>
      <c r="N1103" s="180"/>
      <c r="O1103" s="180"/>
      <c r="P1103" s="180"/>
    </row>
    <row r="1104" spans="1:16" x14ac:dyDescent="0.45">
      <c r="A1104" s="180" t="s">
        <v>218</v>
      </c>
      <c r="B1104" s="73">
        <v>800</v>
      </c>
      <c r="C1104" s="73">
        <v>800</v>
      </c>
      <c r="D1104" s="180" t="s">
        <v>475</v>
      </c>
      <c r="E1104" s="39">
        <v>43599</v>
      </c>
      <c r="F1104" s="179">
        <v>0.4597222222222222</v>
      </c>
      <c r="G1104" s="180">
        <v>1</v>
      </c>
      <c r="H1104" s="180"/>
      <c r="I1104" s="180" t="s">
        <v>526</v>
      </c>
      <c r="J1104" s="180"/>
      <c r="K1104" s="180"/>
      <c r="L1104" s="180"/>
      <c r="M1104" s="180"/>
      <c r="N1104" s="180"/>
      <c r="O1104" s="180"/>
      <c r="P1104" s="180"/>
    </row>
    <row r="1105" spans="1:16" x14ac:dyDescent="0.45">
      <c r="A1105" s="180" t="s">
        <v>218</v>
      </c>
      <c r="B1105" s="73">
        <v>10</v>
      </c>
      <c r="C1105" s="73"/>
      <c r="D1105" s="180" t="s">
        <v>524</v>
      </c>
      <c r="E1105" s="39">
        <v>43599</v>
      </c>
      <c r="F1105" s="179">
        <v>0.53333333333333333</v>
      </c>
      <c r="G1105" s="180">
        <v>1</v>
      </c>
      <c r="H1105" s="180"/>
      <c r="I1105" s="180"/>
      <c r="J1105" s="180"/>
      <c r="K1105" s="180"/>
      <c r="L1105" s="180"/>
      <c r="M1105" s="180"/>
      <c r="N1105" s="180"/>
      <c r="O1105" s="180"/>
      <c r="P1105" s="180"/>
    </row>
    <row r="1106" spans="1:16" x14ac:dyDescent="0.45">
      <c r="A1106" s="1" t="s">
        <v>273</v>
      </c>
      <c r="B1106" s="73"/>
      <c r="C1106" s="73">
        <f>SUM(C1103:C1105)</f>
        <v>878</v>
      </c>
      <c r="D1106" s="180"/>
      <c r="E1106" s="39"/>
      <c r="F1106" s="179"/>
      <c r="G1106" s="180"/>
      <c r="H1106" s="180"/>
      <c r="I1106" s="180"/>
      <c r="J1106" s="180"/>
      <c r="K1106" s="180"/>
      <c r="L1106" s="180"/>
      <c r="M1106" s="180"/>
      <c r="N1106" s="180"/>
      <c r="O1106" s="180"/>
      <c r="P1106" s="180"/>
    </row>
    <row r="1107" spans="1:16" x14ac:dyDescent="0.45">
      <c r="A1107" s="180"/>
      <c r="B1107" s="73"/>
      <c r="C1107" s="73"/>
      <c r="D1107" s="180"/>
      <c r="E1107" s="39"/>
      <c r="F1107" s="179"/>
      <c r="G1107" s="180"/>
      <c r="H1107" s="180"/>
      <c r="I1107" s="180"/>
      <c r="J1107" s="180"/>
      <c r="K1107" s="180"/>
      <c r="L1107" s="180"/>
      <c r="M1107" s="180"/>
      <c r="N1107" s="180"/>
      <c r="O1107" s="180"/>
      <c r="P1107" s="180"/>
    </row>
    <row r="1108" spans="1:16" x14ac:dyDescent="0.45">
      <c r="A1108" s="180" t="s">
        <v>15</v>
      </c>
      <c r="B1108" s="73">
        <v>1</v>
      </c>
      <c r="C1108" s="73">
        <v>1</v>
      </c>
      <c r="D1108" s="180" t="s">
        <v>414</v>
      </c>
      <c r="E1108" s="39">
        <v>43581</v>
      </c>
      <c r="F1108" s="179">
        <v>0.69652777777777775</v>
      </c>
      <c r="G1108" s="180">
        <v>18</v>
      </c>
      <c r="H1108" s="180"/>
      <c r="I1108" s="180"/>
      <c r="J1108" s="180"/>
      <c r="K1108" s="180"/>
      <c r="L1108" s="180"/>
      <c r="M1108" s="180"/>
      <c r="N1108" s="180"/>
      <c r="O1108" s="180"/>
      <c r="P1108" s="180"/>
    </row>
    <row r="1109" spans="1:16" x14ac:dyDescent="0.45">
      <c r="A1109" s="180" t="s">
        <v>15</v>
      </c>
      <c r="B1109" s="73">
        <v>1</v>
      </c>
      <c r="C1109" s="73"/>
      <c r="D1109" s="180" t="s">
        <v>271</v>
      </c>
      <c r="E1109" s="39">
        <v>43581</v>
      </c>
      <c r="F1109" s="179">
        <v>0.49652777777777773</v>
      </c>
      <c r="G1109" s="180">
        <v>1</v>
      </c>
      <c r="H1109" s="180"/>
      <c r="I1109" s="180"/>
      <c r="J1109" s="180"/>
      <c r="K1109" s="180"/>
      <c r="L1109" s="180"/>
      <c r="M1109" s="180"/>
      <c r="N1109" s="180"/>
      <c r="O1109" s="180"/>
      <c r="P1109" s="180"/>
    </row>
    <row r="1110" spans="1:16" x14ac:dyDescent="0.45">
      <c r="A1110" s="180" t="s">
        <v>15</v>
      </c>
      <c r="B1110" s="73">
        <v>1</v>
      </c>
      <c r="C1110" s="73">
        <v>1</v>
      </c>
      <c r="D1110" s="180" t="s">
        <v>271</v>
      </c>
      <c r="E1110" s="39">
        <v>43582</v>
      </c>
      <c r="F1110" s="179">
        <v>0.35833333333333334</v>
      </c>
      <c r="G1110" s="180">
        <v>1</v>
      </c>
      <c r="H1110" s="180"/>
      <c r="I1110" s="180"/>
      <c r="J1110" s="180"/>
      <c r="K1110" s="180"/>
      <c r="L1110" s="180"/>
      <c r="M1110" s="180"/>
      <c r="N1110" s="180"/>
      <c r="O1110" s="180"/>
      <c r="P1110" s="180"/>
    </row>
    <row r="1111" spans="1:16" x14ac:dyDescent="0.45">
      <c r="A1111" s="180" t="s">
        <v>15</v>
      </c>
      <c r="B1111" s="73">
        <v>13</v>
      </c>
      <c r="C1111" s="73"/>
      <c r="D1111" s="180" t="s">
        <v>353</v>
      </c>
      <c r="E1111" s="39">
        <v>43585</v>
      </c>
      <c r="F1111" s="179">
        <v>0.56111111111111112</v>
      </c>
      <c r="G1111" s="180">
        <v>1</v>
      </c>
      <c r="H1111" s="180" t="s">
        <v>354</v>
      </c>
      <c r="I1111" s="180"/>
      <c r="J1111" s="180"/>
      <c r="K1111" s="180"/>
      <c r="L1111" s="180"/>
      <c r="M1111" s="180"/>
      <c r="N1111" s="180"/>
      <c r="O1111" s="180"/>
      <c r="P1111" s="180"/>
    </row>
    <row r="1112" spans="1:16" x14ac:dyDescent="0.45">
      <c r="A1112" s="180" t="s">
        <v>15</v>
      </c>
      <c r="B1112" s="73">
        <v>15</v>
      </c>
      <c r="C1112" s="73">
        <v>15</v>
      </c>
      <c r="D1112" s="180" t="s">
        <v>128</v>
      </c>
      <c r="E1112" s="39">
        <v>43585</v>
      </c>
      <c r="F1112" s="179">
        <v>0.54097222222222219</v>
      </c>
      <c r="G1112" s="180">
        <v>1</v>
      </c>
      <c r="H1112" s="180"/>
      <c r="I1112" s="180"/>
      <c r="J1112" s="180"/>
      <c r="K1112" s="180"/>
      <c r="L1112" s="180"/>
      <c r="M1112" s="180"/>
      <c r="N1112" s="180"/>
      <c r="O1112" s="180"/>
      <c r="P1112" s="180"/>
    </row>
    <row r="1113" spans="1:16" x14ac:dyDescent="0.45">
      <c r="A1113" s="180" t="s">
        <v>15</v>
      </c>
      <c r="B1113" s="73">
        <v>10</v>
      </c>
      <c r="C1113" s="73"/>
      <c r="D1113" s="180" t="s">
        <v>309</v>
      </c>
      <c r="E1113" s="39">
        <v>43585</v>
      </c>
      <c r="F1113" s="179">
        <v>0.59930555555555554</v>
      </c>
      <c r="G1113" s="180">
        <v>2</v>
      </c>
      <c r="H1113" s="180"/>
      <c r="I1113" s="180" t="s">
        <v>526</v>
      </c>
      <c r="J1113" s="180"/>
      <c r="K1113" s="180"/>
      <c r="L1113" s="180"/>
      <c r="M1113" s="180"/>
      <c r="N1113" s="180"/>
      <c r="O1113" s="180"/>
      <c r="P1113" s="180"/>
    </row>
    <row r="1114" spans="1:16" x14ac:dyDescent="0.45">
      <c r="A1114" s="180" t="s">
        <v>15</v>
      </c>
      <c r="B1114" s="73">
        <v>2</v>
      </c>
      <c r="C1114" s="73"/>
      <c r="D1114" s="180" t="s">
        <v>309</v>
      </c>
      <c r="E1114" s="39">
        <v>43585</v>
      </c>
      <c r="F1114" s="179">
        <v>0.42777777777777781</v>
      </c>
      <c r="G1114" s="180">
        <v>2</v>
      </c>
      <c r="H1114" s="180"/>
      <c r="I1114" s="180"/>
      <c r="J1114" s="180"/>
      <c r="K1114" s="180"/>
      <c r="L1114" s="180"/>
      <c r="M1114" s="180"/>
      <c r="N1114" s="180"/>
      <c r="O1114" s="180"/>
      <c r="P1114" s="180"/>
    </row>
    <row r="1115" spans="1:16" x14ac:dyDescent="0.45">
      <c r="A1115" s="180" t="s">
        <v>15</v>
      </c>
      <c r="B1115" s="73">
        <v>2</v>
      </c>
      <c r="C1115" s="73">
        <v>2</v>
      </c>
      <c r="D1115" s="180" t="s">
        <v>356</v>
      </c>
      <c r="E1115" s="39">
        <v>43587</v>
      </c>
      <c r="F1115" s="179">
        <v>0.47291666666666665</v>
      </c>
      <c r="G1115" s="180">
        <v>2</v>
      </c>
      <c r="H1115" s="180"/>
      <c r="I1115" s="180"/>
      <c r="J1115" s="180"/>
      <c r="K1115" s="180"/>
      <c r="L1115" s="180"/>
      <c r="M1115" s="180"/>
      <c r="N1115" s="180"/>
      <c r="O1115" s="180"/>
      <c r="P1115" s="180"/>
    </row>
    <row r="1116" spans="1:16" x14ac:dyDescent="0.45">
      <c r="A1116" s="180" t="s">
        <v>15</v>
      </c>
      <c r="B1116" s="73">
        <v>1</v>
      </c>
      <c r="C1116" s="73"/>
      <c r="D1116" s="180" t="s">
        <v>128</v>
      </c>
      <c r="E1116" s="39">
        <v>43587</v>
      </c>
      <c r="F1116" s="179">
        <v>0.5444444444444444</v>
      </c>
      <c r="G1116" s="180">
        <v>1</v>
      </c>
      <c r="H1116" s="180" t="s">
        <v>34</v>
      </c>
      <c r="I1116" s="180"/>
      <c r="J1116" s="180"/>
      <c r="K1116" s="180"/>
      <c r="L1116" s="180"/>
      <c r="M1116" s="180"/>
      <c r="N1116" s="180"/>
      <c r="O1116" s="180"/>
      <c r="P1116" s="180"/>
    </row>
    <row r="1117" spans="1:16" x14ac:dyDescent="0.45">
      <c r="A1117" s="180" t="s">
        <v>15</v>
      </c>
      <c r="B1117" s="73">
        <v>2</v>
      </c>
      <c r="C1117" s="73">
        <v>2</v>
      </c>
      <c r="D1117" s="180" t="s">
        <v>317</v>
      </c>
      <c r="E1117" s="39">
        <v>43589</v>
      </c>
      <c r="F1117" s="179">
        <v>0.6333333333333333</v>
      </c>
      <c r="G1117" s="180">
        <v>1</v>
      </c>
      <c r="H1117" s="180"/>
      <c r="I1117" s="180"/>
      <c r="J1117" s="180"/>
      <c r="K1117" s="180"/>
      <c r="L1117" s="180"/>
      <c r="M1117" s="180"/>
      <c r="N1117" s="180"/>
      <c r="O1117" s="180"/>
      <c r="P1117" s="180"/>
    </row>
    <row r="1118" spans="1:16" x14ac:dyDescent="0.45">
      <c r="A1118" s="180" t="s">
        <v>15</v>
      </c>
      <c r="B1118" s="73">
        <v>10</v>
      </c>
      <c r="C1118" s="73">
        <v>10</v>
      </c>
      <c r="D1118" s="180" t="s">
        <v>372</v>
      </c>
      <c r="E1118" s="39">
        <v>43589</v>
      </c>
      <c r="F1118" s="179">
        <v>0.71388888888888891</v>
      </c>
      <c r="G1118" s="180">
        <v>1</v>
      </c>
      <c r="H1118" s="180"/>
      <c r="I1118" s="180"/>
      <c r="J1118" s="180"/>
      <c r="K1118" s="180"/>
      <c r="L1118" s="180"/>
      <c r="M1118" s="180"/>
      <c r="N1118" s="180"/>
      <c r="O1118" s="180"/>
      <c r="P1118" s="180"/>
    </row>
    <row r="1119" spans="1:16" x14ac:dyDescent="0.45">
      <c r="A1119" s="180" t="s">
        <v>15</v>
      </c>
      <c r="B1119" s="73">
        <v>6</v>
      </c>
      <c r="C1119" s="73">
        <v>6</v>
      </c>
      <c r="D1119" s="180" t="s">
        <v>128</v>
      </c>
      <c r="E1119" s="39">
        <v>43590</v>
      </c>
      <c r="F1119" s="179">
        <v>0.54861111111111105</v>
      </c>
      <c r="G1119" s="180">
        <v>2</v>
      </c>
      <c r="H1119" s="180"/>
      <c r="I1119" s="180"/>
      <c r="J1119" s="180"/>
      <c r="K1119" s="180"/>
      <c r="L1119" s="180"/>
      <c r="M1119" s="180"/>
      <c r="N1119" s="180"/>
      <c r="O1119" s="180"/>
      <c r="P1119" s="180"/>
    </row>
    <row r="1120" spans="1:16" x14ac:dyDescent="0.45">
      <c r="A1120" s="180" t="s">
        <v>15</v>
      </c>
      <c r="B1120" s="73">
        <v>6</v>
      </c>
      <c r="C1120" s="73"/>
      <c r="D1120" s="180" t="s">
        <v>128</v>
      </c>
      <c r="E1120" s="39">
        <v>43590</v>
      </c>
      <c r="F1120" s="179">
        <v>0.54027777777777775</v>
      </c>
      <c r="G1120" s="180">
        <v>1</v>
      </c>
      <c r="H1120" s="180"/>
      <c r="I1120" s="180"/>
      <c r="J1120" s="180"/>
      <c r="K1120" s="180"/>
      <c r="L1120" s="180"/>
      <c r="M1120" s="180"/>
      <c r="N1120" s="180"/>
      <c r="O1120" s="180"/>
      <c r="P1120" s="180"/>
    </row>
    <row r="1121" spans="1:16" x14ac:dyDescent="0.45">
      <c r="A1121" s="180" t="s">
        <v>15</v>
      </c>
      <c r="B1121" s="73">
        <v>1</v>
      </c>
      <c r="C1121" s="73">
        <v>1</v>
      </c>
      <c r="D1121" s="180" t="s">
        <v>296</v>
      </c>
      <c r="E1121" s="39">
        <v>43591</v>
      </c>
      <c r="F1121" s="179">
        <v>0.51388888888888895</v>
      </c>
      <c r="G1121" s="180">
        <v>2</v>
      </c>
      <c r="H1121" s="180"/>
      <c r="I1121" s="180"/>
      <c r="J1121" s="180"/>
      <c r="K1121" s="180"/>
      <c r="L1121" s="180"/>
      <c r="M1121" s="180"/>
      <c r="N1121" s="180"/>
      <c r="O1121" s="180"/>
      <c r="P1121" s="180"/>
    </row>
    <row r="1122" spans="1:16" x14ac:dyDescent="0.45">
      <c r="A1122" s="180" t="s">
        <v>15</v>
      </c>
      <c r="B1122" s="73">
        <v>5</v>
      </c>
      <c r="C1122" s="73">
        <v>5</v>
      </c>
      <c r="D1122" s="180" t="s">
        <v>309</v>
      </c>
      <c r="E1122" s="39">
        <v>43593</v>
      </c>
      <c r="F1122" s="179">
        <v>0.78680555555555554</v>
      </c>
      <c r="G1122" s="180">
        <v>1</v>
      </c>
      <c r="H1122" s="180"/>
      <c r="I1122" s="180"/>
      <c r="J1122" s="180"/>
      <c r="K1122" s="180"/>
      <c r="L1122" s="180"/>
      <c r="M1122" s="180"/>
      <c r="N1122" s="180"/>
      <c r="O1122" s="180"/>
      <c r="P1122" s="180"/>
    </row>
    <row r="1123" spans="1:16" x14ac:dyDescent="0.45">
      <c r="A1123" s="180" t="s">
        <v>15</v>
      </c>
      <c r="B1123" s="73">
        <v>10</v>
      </c>
      <c r="C1123" s="73">
        <v>10</v>
      </c>
      <c r="D1123" s="180" t="s">
        <v>296</v>
      </c>
      <c r="E1123" s="39">
        <v>43593</v>
      </c>
      <c r="F1123" s="179">
        <v>0.78472222222222221</v>
      </c>
      <c r="G1123" s="180">
        <v>2</v>
      </c>
      <c r="H1123" s="180"/>
      <c r="I1123" s="180"/>
      <c r="J1123" s="180"/>
      <c r="K1123" s="180"/>
      <c r="L1123" s="180"/>
      <c r="M1123" s="180"/>
      <c r="N1123" s="180"/>
      <c r="O1123" s="180"/>
      <c r="P1123" s="180"/>
    </row>
    <row r="1124" spans="1:16" x14ac:dyDescent="0.45">
      <c r="A1124" s="180" t="s">
        <v>15</v>
      </c>
      <c r="B1124" s="73">
        <v>1</v>
      </c>
      <c r="C1124" s="73">
        <v>1</v>
      </c>
      <c r="D1124" s="180" t="s">
        <v>271</v>
      </c>
      <c r="E1124" s="39">
        <v>43593</v>
      </c>
      <c r="F1124" s="179">
        <v>0.68611111111111101</v>
      </c>
      <c r="G1124" s="180">
        <v>1</v>
      </c>
      <c r="H1124" s="180"/>
      <c r="I1124" s="180"/>
      <c r="J1124" s="180"/>
      <c r="K1124" s="180"/>
      <c r="L1124" s="180"/>
      <c r="M1124" s="180"/>
      <c r="N1124" s="180"/>
      <c r="O1124" s="180"/>
      <c r="P1124" s="180"/>
    </row>
    <row r="1125" spans="1:16" x14ac:dyDescent="0.45">
      <c r="A1125" s="180" t="s">
        <v>15</v>
      </c>
      <c r="B1125" s="73">
        <v>2</v>
      </c>
      <c r="C1125" s="73"/>
      <c r="D1125" s="180" t="s">
        <v>296</v>
      </c>
      <c r="E1125" s="39">
        <v>43594</v>
      </c>
      <c r="F1125" s="179">
        <v>0.72777777777777775</v>
      </c>
      <c r="G1125" s="180">
        <v>1</v>
      </c>
      <c r="H1125" s="180"/>
      <c r="I1125" s="180"/>
      <c r="J1125" s="180"/>
      <c r="K1125" s="180"/>
      <c r="L1125" s="180"/>
      <c r="M1125" s="180"/>
      <c r="N1125" s="180"/>
      <c r="O1125" s="180"/>
      <c r="P1125" s="180"/>
    </row>
    <row r="1126" spans="1:16" x14ac:dyDescent="0.45">
      <c r="A1126" s="180" t="s">
        <v>15</v>
      </c>
      <c r="B1126" s="73">
        <v>9</v>
      </c>
      <c r="C1126" s="73"/>
      <c r="D1126" s="180" t="s">
        <v>296</v>
      </c>
      <c r="E1126" s="39">
        <v>43594</v>
      </c>
      <c r="F1126" s="179">
        <v>0.76736111111111116</v>
      </c>
      <c r="G1126" s="180">
        <v>1</v>
      </c>
      <c r="H1126" s="180"/>
      <c r="I1126" s="180"/>
      <c r="J1126" s="180"/>
      <c r="K1126" s="180"/>
      <c r="L1126" s="180"/>
      <c r="M1126" s="180"/>
      <c r="N1126" s="180"/>
      <c r="O1126" s="180"/>
      <c r="P1126" s="180"/>
    </row>
    <row r="1127" spans="1:16" x14ac:dyDescent="0.45">
      <c r="A1127" s="180" t="s">
        <v>15</v>
      </c>
      <c r="B1127" s="73">
        <v>7</v>
      </c>
      <c r="C1127" s="73"/>
      <c r="D1127" s="180" t="s">
        <v>296</v>
      </c>
      <c r="E1127" s="39">
        <v>43594</v>
      </c>
      <c r="F1127" s="179">
        <v>0.76388888888888884</v>
      </c>
      <c r="G1127" s="180">
        <v>1</v>
      </c>
      <c r="H1127" s="180"/>
      <c r="I1127" s="180"/>
      <c r="J1127" s="180"/>
      <c r="K1127" s="180"/>
      <c r="L1127" s="180"/>
      <c r="M1127" s="180"/>
      <c r="N1127" s="180"/>
      <c r="O1127" s="180"/>
      <c r="P1127" s="180"/>
    </row>
    <row r="1128" spans="1:16" x14ac:dyDescent="0.45">
      <c r="A1128" s="180" t="s">
        <v>15</v>
      </c>
      <c r="B1128" s="73">
        <v>2</v>
      </c>
      <c r="C1128" s="73"/>
      <c r="D1128" s="180" t="s">
        <v>296</v>
      </c>
      <c r="E1128" s="39">
        <v>43594</v>
      </c>
      <c r="F1128" s="179">
        <v>0.28611111111111115</v>
      </c>
      <c r="G1128" s="180">
        <v>1</v>
      </c>
      <c r="H1128" s="180"/>
      <c r="I1128" s="180"/>
      <c r="J1128" s="180"/>
      <c r="K1128" s="180"/>
      <c r="L1128" s="180"/>
      <c r="M1128" s="180"/>
      <c r="N1128" s="180"/>
      <c r="O1128" s="180"/>
      <c r="P1128" s="180"/>
    </row>
    <row r="1129" spans="1:16" x14ac:dyDescent="0.45">
      <c r="A1129" s="180" t="s">
        <v>15</v>
      </c>
      <c r="B1129" s="73">
        <v>2</v>
      </c>
      <c r="C1129" s="73"/>
      <c r="D1129" s="180" t="s">
        <v>296</v>
      </c>
      <c r="E1129" s="39">
        <v>43594</v>
      </c>
      <c r="F1129" s="179">
        <v>0.26111111111111113</v>
      </c>
      <c r="G1129" s="180">
        <v>1</v>
      </c>
      <c r="H1129" s="180"/>
      <c r="I1129" s="180"/>
      <c r="J1129" s="180"/>
      <c r="K1129" s="180"/>
      <c r="L1129" s="180"/>
      <c r="M1129" s="180"/>
      <c r="N1129" s="180"/>
      <c r="O1129" s="180"/>
      <c r="P1129" s="180"/>
    </row>
    <row r="1130" spans="1:16" x14ac:dyDescent="0.45">
      <c r="A1130" s="180" t="s">
        <v>15</v>
      </c>
      <c r="B1130" s="73">
        <v>10</v>
      </c>
      <c r="C1130" s="73">
        <v>10</v>
      </c>
      <c r="D1130" s="180" t="s">
        <v>296</v>
      </c>
      <c r="E1130" s="39">
        <v>43594</v>
      </c>
      <c r="F1130" s="179">
        <v>0.71180555555555547</v>
      </c>
      <c r="G1130" s="180">
        <v>12</v>
      </c>
      <c r="H1130" s="180" t="s">
        <v>440</v>
      </c>
      <c r="I1130" s="180"/>
      <c r="J1130" s="180"/>
      <c r="K1130" s="180"/>
      <c r="L1130" s="180"/>
      <c r="M1130" s="180"/>
      <c r="N1130" s="180"/>
      <c r="O1130" s="180"/>
      <c r="P1130" s="180"/>
    </row>
    <row r="1131" spans="1:16" x14ac:dyDescent="0.45">
      <c r="A1131" s="180" t="s">
        <v>15</v>
      </c>
      <c r="B1131" s="73">
        <v>4</v>
      </c>
      <c r="C1131" s="73"/>
      <c r="D1131" s="180" t="s">
        <v>359</v>
      </c>
      <c r="E1131" s="39">
        <v>43594</v>
      </c>
      <c r="F1131" s="179">
        <v>0.75</v>
      </c>
      <c r="G1131" s="180">
        <v>2</v>
      </c>
      <c r="H1131" s="180"/>
      <c r="I1131" s="180"/>
      <c r="J1131" s="180"/>
      <c r="K1131" s="180"/>
      <c r="L1131" s="180"/>
      <c r="M1131" s="180"/>
      <c r="N1131" s="180"/>
      <c r="O1131" s="180"/>
      <c r="P1131" s="180"/>
    </row>
    <row r="1132" spans="1:16" x14ac:dyDescent="0.45">
      <c r="A1132" s="180" t="s">
        <v>15</v>
      </c>
      <c r="B1132" s="73">
        <v>7</v>
      </c>
      <c r="C1132" s="73"/>
      <c r="D1132" s="180" t="s">
        <v>378</v>
      </c>
      <c r="E1132" s="39">
        <v>43595</v>
      </c>
      <c r="F1132" s="179">
        <v>0.72916666666666663</v>
      </c>
      <c r="G1132" s="180">
        <v>3</v>
      </c>
      <c r="H1132" s="180"/>
      <c r="I1132" s="180" t="s">
        <v>527</v>
      </c>
      <c r="J1132" s="180"/>
      <c r="K1132" s="180"/>
      <c r="L1132" s="180"/>
      <c r="M1132" s="180"/>
      <c r="N1132" s="180"/>
      <c r="O1132" s="180"/>
      <c r="P1132" s="180"/>
    </row>
    <row r="1133" spans="1:16" x14ac:dyDescent="0.45">
      <c r="A1133" s="180" t="s">
        <v>15</v>
      </c>
      <c r="B1133" s="73">
        <v>3</v>
      </c>
      <c r="C1133" s="73"/>
      <c r="D1133" s="180" t="s">
        <v>128</v>
      </c>
      <c r="E1133" s="39">
        <v>43595</v>
      </c>
      <c r="F1133" s="179">
        <v>0.6875</v>
      </c>
      <c r="G1133" s="180">
        <v>4</v>
      </c>
      <c r="H1133" s="180" t="s">
        <v>485</v>
      </c>
      <c r="I1133" s="180"/>
      <c r="J1133" s="180"/>
      <c r="K1133" s="180"/>
      <c r="L1133" s="180"/>
      <c r="M1133" s="180"/>
      <c r="N1133" s="180"/>
      <c r="O1133" s="180"/>
      <c r="P1133" s="180"/>
    </row>
    <row r="1134" spans="1:16" x14ac:dyDescent="0.45">
      <c r="A1134" s="180" t="s">
        <v>15</v>
      </c>
      <c r="B1134" s="73">
        <v>11</v>
      </c>
      <c r="C1134" s="73">
        <v>11</v>
      </c>
      <c r="D1134" s="180" t="s">
        <v>296</v>
      </c>
      <c r="E1134" s="39">
        <v>43595</v>
      </c>
      <c r="F1134" s="179">
        <v>0.27083333333333331</v>
      </c>
      <c r="G1134" s="180">
        <v>5</v>
      </c>
      <c r="H1134" s="180"/>
      <c r="I1134" s="180"/>
      <c r="J1134" s="180"/>
      <c r="K1134" s="180"/>
      <c r="L1134" s="180"/>
      <c r="M1134" s="180"/>
      <c r="N1134" s="180"/>
      <c r="O1134" s="180"/>
      <c r="P1134" s="180"/>
    </row>
    <row r="1135" spans="1:16" x14ac:dyDescent="0.45">
      <c r="A1135" s="180" t="s">
        <v>15</v>
      </c>
      <c r="B1135" s="73">
        <v>1</v>
      </c>
      <c r="C1135" s="73"/>
      <c r="D1135" s="180" t="s">
        <v>296</v>
      </c>
      <c r="E1135" s="39">
        <v>43595</v>
      </c>
      <c r="F1135" s="179">
        <v>0.6694444444444444</v>
      </c>
      <c r="G1135" s="180">
        <v>2</v>
      </c>
      <c r="H1135" s="180"/>
      <c r="I1135" s="180"/>
      <c r="J1135" s="180"/>
      <c r="K1135" s="180"/>
      <c r="L1135" s="180"/>
      <c r="M1135" s="180"/>
      <c r="N1135" s="180"/>
      <c r="O1135" s="180"/>
      <c r="P1135" s="180"/>
    </row>
    <row r="1136" spans="1:16" x14ac:dyDescent="0.45">
      <c r="A1136" s="180" t="s">
        <v>15</v>
      </c>
      <c r="B1136" s="73">
        <v>11</v>
      </c>
      <c r="C1136" s="73"/>
      <c r="D1136" s="180" t="s">
        <v>296</v>
      </c>
      <c r="E1136" s="39">
        <v>43595</v>
      </c>
      <c r="F1136" s="179">
        <v>0.27083333333333331</v>
      </c>
      <c r="G1136" s="180">
        <v>5</v>
      </c>
      <c r="H1136" s="180"/>
      <c r="I1136" s="180"/>
      <c r="J1136" s="180"/>
      <c r="K1136" s="180"/>
      <c r="L1136" s="180"/>
      <c r="M1136" s="180"/>
      <c r="N1136" s="180"/>
      <c r="O1136" s="180"/>
      <c r="P1136" s="180"/>
    </row>
    <row r="1137" spans="1:16" x14ac:dyDescent="0.45">
      <c r="A1137" s="180" t="s">
        <v>15</v>
      </c>
      <c r="B1137" s="73">
        <v>11</v>
      </c>
      <c r="C1137" s="73"/>
      <c r="D1137" s="180" t="s">
        <v>296</v>
      </c>
      <c r="E1137" s="39">
        <v>43595</v>
      </c>
      <c r="F1137" s="179">
        <v>0.27083333333333331</v>
      </c>
      <c r="G1137" s="180">
        <v>5</v>
      </c>
      <c r="H1137" s="180"/>
      <c r="I1137" s="180"/>
      <c r="J1137" s="180"/>
      <c r="K1137" s="180"/>
      <c r="L1137" s="180"/>
      <c r="M1137" s="180"/>
      <c r="N1137" s="180"/>
      <c r="O1137" s="180"/>
      <c r="P1137" s="180"/>
    </row>
    <row r="1138" spans="1:16" x14ac:dyDescent="0.45">
      <c r="A1138" s="180" t="s">
        <v>15</v>
      </c>
      <c r="B1138" s="73">
        <v>7</v>
      </c>
      <c r="C1138" s="73"/>
      <c r="D1138" s="180" t="s">
        <v>296</v>
      </c>
      <c r="E1138" s="39">
        <v>43595</v>
      </c>
      <c r="F1138" s="179">
        <v>0.76874999999999993</v>
      </c>
      <c r="G1138" s="180">
        <v>1</v>
      </c>
      <c r="H1138" s="180"/>
      <c r="I1138" s="180"/>
      <c r="J1138" s="180"/>
      <c r="K1138" s="180"/>
      <c r="L1138" s="180"/>
      <c r="M1138" s="180"/>
      <c r="N1138" s="180"/>
      <c r="O1138" s="180"/>
      <c r="P1138" s="180"/>
    </row>
    <row r="1139" spans="1:16" x14ac:dyDescent="0.45">
      <c r="A1139" s="180" t="s">
        <v>15</v>
      </c>
      <c r="B1139" s="73">
        <v>3</v>
      </c>
      <c r="C1139" s="73"/>
      <c r="D1139" s="180" t="s">
        <v>296</v>
      </c>
      <c r="E1139" s="39">
        <v>43595</v>
      </c>
      <c r="F1139" s="179">
        <v>0.75</v>
      </c>
      <c r="G1139" s="180">
        <v>1</v>
      </c>
      <c r="H1139" s="180"/>
      <c r="I1139" s="180"/>
      <c r="J1139" s="180"/>
      <c r="K1139" s="180"/>
      <c r="L1139" s="180"/>
      <c r="M1139" s="180"/>
      <c r="N1139" s="180"/>
      <c r="O1139" s="180"/>
      <c r="P1139" s="180"/>
    </row>
    <row r="1140" spans="1:16" x14ac:dyDescent="0.45">
      <c r="A1140" s="180" t="s">
        <v>15</v>
      </c>
      <c r="B1140" s="73">
        <v>1</v>
      </c>
      <c r="C1140" s="73"/>
      <c r="D1140" s="180" t="s">
        <v>296</v>
      </c>
      <c r="E1140" s="39">
        <v>43595</v>
      </c>
      <c r="F1140" s="179">
        <v>0.6166666666666667</v>
      </c>
      <c r="G1140" s="180">
        <v>1</v>
      </c>
      <c r="H1140" s="180"/>
      <c r="I1140" s="180"/>
      <c r="J1140" s="180"/>
      <c r="K1140" s="180"/>
      <c r="L1140" s="180"/>
      <c r="M1140" s="180"/>
      <c r="N1140" s="180"/>
      <c r="O1140" s="180"/>
      <c r="P1140" s="180"/>
    </row>
    <row r="1141" spans="1:16" x14ac:dyDescent="0.45">
      <c r="A1141" s="180" t="s">
        <v>15</v>
      </c>
      <c r="B1141" s="73">
        <v>11</v>
      </c>
      <c r="C1141" s="73"/>
      <c r="D1141" s="180" t="s">
        <v>296</v>
      </c>
      <c r="E1141" s="39">
        <v>43595</v>
      </c>
      <c r="F1141" s="179">
        <v>0.27083333333333331</v>
      </c>
      <c r="G1141" s="180">
        <v>5</v>
      </c>
      <c r="H1141" s="180"/>
      <c r="I1141" s="180"/>
      <c r="J1141" s="180"/>
      <c r="K1141" s="180"/>
      <c r="L1141" s="180"/>
      <c r="M1141" s="180"/>
      <c r="N1141" s="180"/>
      <c r="O1141" s="180"/>
      <c r="P1141" s="180"/>
    </row>
    <row r="1142" spans="1:16" x14ac:dyDescent="0.45">
      <c r="A1142" s="180" t="s">
        <v>15</v>
      </c>
      <c r="B1142" s="73">
        <v>11</v>
      </c>
      <c r="C1142" s="73"/>
      <c r="D1142" s="180" t="s">
        <v>296</v>
      </c>
      <c r="E1142" s="39">
        <v>43595</v>
      </c>
      <c r="F1142" s="179">
        <v>0.27083333333333331</v>
      </c>
      <c r="G1142" s="180">
        <v>5</v>
      </c>
      <c r="H1142" s="180"/>
      <c r="I1142" s="180"/>
      <c r="J1142" s="180"/>
      <c r="K1142" s="180"/>
      <c r="L1142" s="180"/>
      <c r="M1142" s="180"/>
      <c r="N1142" s="180"/>
      <c r="O1142" s="180"/>
      <c r="P1142" s="180"/>
    </row>
    <row r="1143" spans="1:16" x14ac:dyDescent="0.45">
      <c r="A1143" s="180" t="s">
        <v>15</v>
      </c>
      <c r="B1143" s="73">
        <v>15</v>
      </c>
      <c r="C1143" s="73">
        <v>15</v>
      </c>
      <c r="D1143" s="180" t="s">
        <v>380</v>
      </c>
      <c r="E1143" s="39">
        <v>43596</v>
      </c>
      <c r="F1143" s="179">
        <v>0.64027777777777783</v>
      </c>
      <c r="G1143" s="180">
        <v>1</v>
      </c>
      <c r="H1143" s="180"/>
      <c r="I1143" s="180" t="s">
        <v>528</v>
      </c>
      <c r="J1143" s="180"/>
      <c r="K1143" s="180"/>
      <c r="L1143" s="180"/>
      <c r="M1143" s="180"/>
      <c r="N1143" s="180"/>
      <c r="O1143" s="180"/>
      <c r="P1143" s="180"/>
    </row>
    <row r="1144" spans="1:16" x14ac:dyDescent="0.45">
      <c r="A1144" s="180" t="s">
        <v>15</v>
      </c>
      <c r="B1144" s="73">
        <v>15</v>
      </c>
      <c r="C1144" s="73"/>
      <c r="D1144" s="180" t="s">
        <v>380</v>
      </c>
      <c r="E1144" s="39">
        <v>43596</v>
      </c>
      <c r="F1144" s="179">
        <v>0.64027777777777783</v>
      </c>
      <c r="G1144" s="180">
        <v>1</v>
      </c>
      <c r="H1144" s="180"/>
      <c r="I1144" s="180"/>
      <c r="J1144" s="180"/>
      <c r="K1144" s="180"/>
      <c r="L1144" s="180"/>
      <c r="M1144" s="180"/>
      <c r="N1144" s="180"/>
      <c r="O1144" s="180"/>
      <c r="P1144" s="180"/>
    </row>
    <row r="1145" spans="1:16" x14ac:dyDescent="0.45">
      <c r="A1145" s="180" t="s">
        <v>15</v>
      </c>
      <c r="B1145" s="73">
        <v>5</v>
      </c>
      <c r="C1145" s="73"/>
      <c r="D1145" s="180" t="s">
        <v>378</v>
      </c>
      <c r="E1145" s="39">
        <v>43596</v>
      </c>
      <c r="F1145" s="179">
        <v>0.82500000000000007</v>
      </c>
      <c r="G1145" s="180">
        <v>1</v>
      </c>
      <c r="H1145" s="180"/>
      <c r="I1145" s="180"/>
      <c r="J1145" s="180"/>
      <c r="K1145" s="180"/>
      <c r="L1145" s="180"/>
      <c r="M1145" s="180"/>
      <c r="N1145" s="180"/>
      <c r="O1145" s="180"/>
      <c r="P1145" s="180"/>
    </row>
    <row r="1146" spans="1:16" x14ac:dyDescent="0.45">
      <c r="A1146" s="180" t="s">
        <v>15</v>
      </c>
      <c r="B1146" s="73">
        <v>5</v>
      </c>
      <c r="C1146" s="73"/>
      <c r="D1146" s="180" t="s">
        <v>378</v>
      </c>
      <c r="E1146" s="39">
        <v>43596</v>
      </c>
      <c r="F1146" s="179">
        <v>0.82500000000000007</v>
      </c>
      <c r="G1146" s="180">
        <v>1</v>
      </c>
      <c r="H1146" s="180"/>
      <c r="I1146" s="180"/>
      <c r="J1146" s="180"/>
      <c r="K1146" s="180"/>
      <c r="L1146" s="180"/>
      <c r="M1146" s="180"/>
      <c r="N1146" s="180"/>
      <c r="O1146" s="180"/>
      <c r="P1146" s="180"/>
    </row>
    <row r="1147" spans="1:16" x14ac:dyDescent="0.45">
      <c r="A1147" s="180" t="s">
        <v>15</v>
      </c>
      <c r="B1147" s="73">
        <v>5</v>
      </c>
      <c r="C1147" s="73"/>
      <c r="D1147" s="180" t="s">
        <v>378</v>
      </c>
      <c r="E1147" s="39">
        <v>43596</v>
      </c>
      <c r="F1147" s="179">
        <v>0.27499999999999997</v>
      </c>
      <c r="G1147" s="180">
        <v>4</v>
      </c>
      <c r="H1147" s="180" t="s">
        <v>383</v>
      </c>
      <c r="I1147" s="180"/>
      <c r="J1147" s="180"/>
      <c r="K1147" s="180"/>
      <c r="L1147" s="180"/>
      <c r="M1147" s="180"/>
      <c r="N1147" s="180"/>
      <c r="O1147" s="180"/>
      <c r="P1147" s="180"/>
    </row>
    <row r="1148" spans="1:16" x14ac:dyDescent="0.45">
      <c r="A1148" s="180" t="s">
        <v>15</v>
      </c>
      <c r="B1148" s="73">
        <v>10</v>
      </c>
      <c r="C1148" s="73"/>
      <c r="D1148" s="180" t="s">
        <v>384</v>
      </c>
      <c r="E1148" s="39">
        <v>43596</v>
      </c>
      <c r="F1148" s="179">
        <v>0.37847222222222227</v>
      </c>
      <c r="G1148" s="180">
        <v>1</v>
      </c>
      <c r="H1148" s="180"/>
      <c r="I1148" s="180"/>
      <c r="J1148" s="180"/>
      <c r="K1148" s="180"/>
      <c r="L1148" s="180"/>
      <c r="M1148" s="180"/>
      <c r="N1148" s="180"/>
      <c r="O1148" s="180"/>
      <c r="P1148" s="180"/>
    </row>
    <row r="1149" spans="1:16" x14ac:dyDescent="0.45">
      <c r="A1149" s="180" t="s">
        <v>15</v>
      </c>
      <c r="B1149" s="73">
        <v>10</v>
      </c>
      <c r="C1149" s="73"/>
      <c r="D1149" s="180" t="s">
        <v>384</v>
      </c>
      <c r="E1149" s="39">
        <v>43596</v>
      </c>
      <c r="F1149" s="179">
        <v>0.37847222222222227</v>
      </c>
      <c r="G1149" s="180">
        <v>1</v>
      </c>
      <c r="H1149" s="180"/>
      <c r="I1149" s="180"/>
      <c r="J1149" s="180"/>
      <c r="K1149" s="180"/>
      <c r="L1149" s="180"/>
      <c r="M1149" s="180"/>
      <c r="N1149" s="180"/>
      <c r="O1149" s="180"/>
      <c r="P1149" s="180"/>
    </row>
    <row r="1150" spans="1:16" x14ac:dyDescent="0.45">
      <c r="A1150" s="180" t="s">
        <v>15</v>
      </c>
      <c r="B1150" s="73">
        <v>5</v>
      </c>
      <c r="C1150" s="73"/>
      <c r="D1150" s="180" t="s">
        <v>442</v>
      </c>
      <c r="E1150" s="39">
        <v>43596</v>
      </c>
      <c r="F1150" s="179">
        <v>0.5395833333333333</v>
      </c>
      <c r="G1150" s="180">
        <v>1</v>
      </c>
      <c r="H1150" s="180"/>
      <c r="I1150" s="180"/>
      <c r="J1150" s="180"/>
      <c r="K1150" s="180"/>
      <c r="L1150" s="180"/>
      <c r="M1150" s="180"/>
      <c r="N1150" s="180"/>
      <c r="O1150" s="180"/>
      <c r="P1150" s="180"/>
    </row>
    <row r="1151" spans="1:16" x14ac:dyDescent="0.45">
      <c r="A1151" s="180" t="s">
        <v>15</v>
      </c>
      <c r="B1151" s="73">
        <v>1</v>
      </c>
      <c r="C1151" s="73"/>
      <c r="D1151" s="180" t="s">
        <v>332</v>
      </c>
      <c r="E1151" s="39">
        <v>43596</v>
      </c>
      <c r="F1151" s="179">
        <v>0.32777777777777778</v>
      </c>
      <c r="G1151" s="180">
        <v>4</v>
      </c>
      <c r="H1151" s="180"/>
      <c r="I1151" s="180"/>
      <c r="J1151" s="180"/>
      <c r="K1151" s="180"/>
      <c r="L1151" s="180"/>
      <c r="M1151" s="180"/>
      <c r="N1151" s="180"/>
      <c r="O1151" s="180"/>
      <c r="P1151" s="180"/>
    </row>
    <row r="1152" spans="1:16" x14ac:dyDescent="0.45">
      <c r="A1152" s="180" t="s">
        <v>15</v>
      </c>
      <c r="B1152" s="73">
        <v>13</v>
      </c>
      <c r="C1152" s="73">
        <v>13</v>
      </c>
      <c r="D1152" s="180" t="s">
        <v>332</v>
      </c>
      <c r="E1152" s="39">
        <v>43596</v>
      </c>
      <c r="F1152" s="179">
        <v>0.64097222222222217</v>
      </c>
      <c r="G1152" s="180">
        <v>22</v>
      </c>
      <c r="H1152" s="180"/>
      <c r="I1152" s="180"/>
      <c r="J1152" s="180"/>
      <c r="K1152" s="180"/>
      <c r="L1152" s="180"/>
      <c r="M1152" s="180"/>
      <c r="N1152" s="180"/>
      <c r="O1152" s="180"/>
      <c r="P1152" s="180"/>
    </row>
    <row r="1153" spans="1:16" x14ac:dyDescent="0.45">
      <c r="A1153" s="180" t="s">
        <v>15</v>
      </c>
      <c r="B1153" s="73">
        <v>1</v>
      </c>
      <c r="C1153" s="73"/>
      <c r="D1153" s="180" t="s">
        <v>332</v>
      </c>
      <c r="E1153" s="39">
        <v>43596</v>
      </c>
      <c r="F1153" s="179">
        <v>0.32777777777777778</v>
      </c>
      <c r="G1153" s="180">
        <v>4</v>
      </c>
      <c r="H1153" s="180"/>
      <c r="I1153" s="180"/>
      <c r="J1153" s="180"/>
      <c r="K1153" s="180"/>
      <c r="L1153" s="180"/>
      <c r="M1153" s="180"/>
      <c r="N1153" s="180"/>
      <c r="O1153" s="180"/>
      <c r="P1153" s="180"/>
    </row>
    <row r="1154" spans="1:16" x14ac:dyDescent="0.45">
      <c r="A1154" s="180" t="s">
        <v>15</v>
      </c>
      <c r="B1154" s="73">
        <v>24</v>
      </c>
      <c r="C1154" s="73">
        <v>24</v>
      </c>
      <c r="D1154" s="180" t="s">
        <v>311</v>
      </c>
      <c r="E1154" s="39">
        <v>43596</v>
      </c>
      <c r="F1154" s="179">
        <v>0.57500000000000007</v>
      </c>
      <c r="G1154" s="180">
        <v>22</v>
      </c>
      <c r="H1154" s="180" t="s">
        <v>385</v>
      </c>
      <c r="I1154" s="180"/>
      <c r="J1154" s="180"/>
      <c r="K1154" s="180"/>
      <c r="L1154" s="180"/>
      <c r="M1154" s="180"/>
      <c r="N1154" s="180"/>
      <c r="O1154" s="180"/>
      <c r="P1154" s="180"/>
    </row>
    <row r="1155" spans="1:16" x14ac:dyDescent="0.45">
      <c r="A1155" s="180" t="s">
        <v>15</v>
      </c>
      <c r="B1155" s="73">
        <v>13</v>
      </c>
      <c r="C1155" s="73"/>
      <c r="D1155" s="180" t="s">
        <v>309</v>
      </c>
      <c r="E1155" s="39">
        <v>43596</v>
      </c>
      <c r="F1155" s="179">
        <v>0.29444444444444445</v>
      </c>
      <c r="G1155" s="180">
        <v>1</v>
      </c>
      <c r="H1155" s="180" t="s">
        <v>362</v>
      </c>
      <c r="I1155" s="180"/>
      <c r="J1155" s="180"/>
      <c r="K1155" s="180"/>
      <c r="L1155" s="180"/>
      <c r="M1155" s="180"/>
      <c r="N1155" s="180"/>
      <c r="O1155" s="180"/>
      <c r="P1155" s="180"/>
    </row>
    <row r="1156" spans="1:16" x14ac:dyDescent="0.45">
      <c r="A1156" s="180" t="s">
        <v>15</v>
      </c>
      <c r="B1156" s="73">
        <v>13</v>
      </c>
      <c r="C1156" s="73"/>
      <c r="D1156" s="180" t="s">
        <v>309</v>
      </c>
      <c r="E1156" s="39">
        <v>43596</v>
      </c>
      <c r="F1156" s="179">
        <v>0.29166666666666669</v>
      </c>
      <c r="G1156" s="180">
        <v>20</v>
      </c>
      <c r="H1156" s="180" t="s">
        <v>363</v>
      </c>
      <c r="I1156" s="180"/>
      <c r="J1156" s="180"/>
      <c r="K1156" s="180"/>
      <c r="L1156" s="180"/>
      <c r="M1156" s="180"/>
      <c r="N1156" s="180"/>
      <c r="O1156" s="180"/>
      <c r="P1156" s="180"/>
    </row>
    <row r="1157" spans="1:16" x14ac:dyDescent="0.45">
      <c r="A1157" s="180" t="s">
        <v>15</v>
      </c>
      <c r="B1157" s="73">
        <v>42</v>
      </c>
      <c r="C1157" s="73">
        <v>42</v>
      </c>
      <c r="D1157" s="180" t="s">
        <v>309</v>
      </c>
      <c r="E1157" s="39">
        <v>43596</v>
      </c>
      <c r="F1157" s="179">
        <v>0.34583333333333338</v>
      </c>
      <c r="G1157" s="180">
        <v>1</v>
      </c>
      <c r="H1157" s="180"/>
      <c r="I1157" s="180"/>
      <c r="J1157" s="180"/>
      <c r="K1157" s="180"/>
      <c r="L1157" s="180"/>
      <c r="M1157" s="180"/>
      <c r="N1157" s="180"/>
      <c r="O1157" s="180"/>
      <c r="P1157" s="180"/>
    </row>
    <row r="1158" spans="1:16" x14ac:dyDescent="0.45">
      <c r="A1158" s="180" t="s">
        <v>15</v>
      </c>
      <c r="B1158" s="73">
        <v>22</v>
      </c>
      <c r="C1158" s="73"/>
      <c r="D1158" s="180" t="s">
        <v>309</v>
      </c>
      <c r="E1158" s="39">
        <v>43596</v>
      </c>
      <c r="F1158" s="179">
        <v>0.32291666666666669</v>
      </c>
      <c r="G1158" s="180">
        <v>5</v>
      </c>
      <c r="H1158" s="180"/>
      <c r="I1158" s="180"/>
      <c r="J1158" s="180"/>
      <c r="K1158" s="180"/>
      <c r="L1158" s="180"/>
      <c r="M1158" s="180"/>
      <c r="N1158" s="180"/>
      <c r="O1158" s="180"/>
      <c r="P1158" s="180"/>
    </row>
    <row r="1159" spans="1:16" x14ac:dyDescent="0.45">
      <c r="A1159" s="180" t="s">
        <v>15</v>
      </c>
      <c r="B1159" s="73">
        <v>30</v>
      </c>
      <c r="C1159" s="73"/>
      <c r="D1159" s="180" t="s">
        <v>309</v>
      </c>
      <c r="E1159" s="39">
        <v>43596</v>
      </c>
      <c r="F1159" s="179">
        <v>0.32291666666666669</v>
      </c>
      <c r="G1159" s="180">
        <v>1</v>
      </c>
      <c r="H1159" s="180" t="s">
        <v>364</v>
      </c>
      <c r="I1159" s="180"/>
      <c r="J1159" s="180"/>
      <c r="K1159" s="180"/>
      <c r="L1159" s="180"/>
      <c r="M1159" s="180"/>
      <c r="N1159" s="180"/>
      <c r="O1159" s="180"/>
      <c r="P1159" s="180"/>
    </row>
    <row r="1160" spans="1:16" x14ac:dyDescent="0.45">
      <c r="A1160" s="180" t="s">
        <v>15</v>
      </c>
      <c r="B1160" s="73">
        <v>40</v>
      </c>
      <c r="C1160" s="73"/>
      <c r="D1160" s="180" t="s">
        <v>309</v>
      </c>
      <c r="E1160" s="39">
        <v>43596</v>
      </c>
      <c r="F1160" s="179">
        <v>0.37986111111111115</v>
      </c>
      <c r="G1160" s="180">
        <v>1</v>
      </c>
      <c r="H1160" s="180"/>
      <c r="I1160" s="180"/>
      <c r="J1160" s="180"/>
      <c r="K1160" s="180"/>
      <c r="L1160" s="180"/>
      <c r="M1160" s="180"/>
      <c r="N1160" s="180"/>
      <c r="O1160" s="180"/>
      <c r="P1160" s="180"/>
    </row>
    <row r="1161" spans="1:16" x14ac:dyDescent="0.45">
      <c r="A1161" s="180" t="s">
        <v>15</v>
      </c>
      <c r="B1161" s="73">
        <v>15</v>
      </c>
      <c r="C1161" s="73"/>
      <c r="D1161" s="180" t="s">
        <v>309</v>
      </c>
      <c r="E1161" s="39">
        <v>43596</v>
      </c>
      <c r="F1161" s="179">
        <v>0.32569444444444445</v>
      </c>
      <c r="G1161" s="180">
        <v>3</v>
      </c>
      <c r="H1161" s="180" t="s">
        <v>361</v>
      </c>
      <c r="I1161" s="180"/>
      <c r="J1161" s="180"/>
      <c r="K1161" s="180"/>
      <c r="L1161" s="180"/>
      <c r="M1161" s="180"/>
      <c r="N1161" s="180"/>
      <c r="O1161" s="180"/>
      <c r="P1161" s="180"/>
    </row>
    <row r="1162" spans="1:16" x14ac:dyDescent="0.45">
      <c r="A1162" s="180" t="s">
        <v>15</v>
      </c>
      <c r="B1162" s="73">
        <v>5</v>
      </c>
      <c r="C1162" s="73"/>
      <c r="D1162" s="180" t="s">
        <v>309</v>
      </c>
      <c r="E1162" s="39">
        <v>43596</v>
      </c>
      <c r="F1162" s="179">
        <v>0.28472222222222221</v>
      </c>
      <c r="G1162" s="180">
        <v>1</v>
      </c>
      <c r="H1162" s="180"/>
      <c r="I1162" s="180"/>
      <c r="J1162" s="180"/>
      <c r="K1162" s="180"/>
      <c r="L1162" s="180"/>
      <c r="M1162" s="180"/>
      <c r="N1162" s="180"/>
      <c r="O1162" s="180"/>
      <c r="P1162" s="180"/>
    </row>
    <row r="1163" spans="1:16" x14ac:dyDescent="0.45">
      <c r="A1163" s="180" t="s">
        <v>15</v>
      </c>
      <c r="B1163" s="73">
        <v>12</v>
      </c>
      <c r="C1163" s="73"/>
      <c r="D1163" s="180" t="s">
        <v>309</v>
      </c>
      <c r="E1163" s="39">
        <v>43596</v>
      </c>
      <c r="F1163" s="179">
        <v>0.79513888888888884</v>
      </c>
      <c r="G1163" s="180">
        <v>1</v>
      </c>
      <c r="H1163" s="180" t="s">
        <v>387</v>
      </c>
      <c r="I1163" s="180"/>
      <c r="J1163" s="180"/>
      <c r="K1163" s="180"/>
      <c r="L1163" s="180"/>
      <c r="M1163" s="180"/>
      <c r="N1163" s="180"/>
      <c r="O1163" s="180"/>
      <c r="P1163" s="180"/>
    </row>
    <row r="1164" spans="1:16" x14ac:dyDescent="0.45">
      <c r="A1164" s="180" t="s">
        <v>15</v>
      </c>
      <c r="B1164" s="73">
        <v>40</v>
      </c>
      <c r="C1164" s="73"/>
      <c r="D1164" s="180" t="s">
        <v>376</v>
      </c>
      <c r="E1164" s="39">
        <v>43596</v>
      </c>
      <c r="F1164" s="179">
        <v>0.72083333333333333</v>
      </c>
      <c r="G1164" s="180">
        <v>3</v>
      </c>
      <c r="H1164" s="180"/>
      <c r="I1164" s="180"/>
      <c r="J1164" s="180"/>
      <c r="K1164" s="180"/>
      <c r="L1164" s="180"/>
      <c r="M1164" s="180"/>
      <c r="N1164" s="180"/>
      <c r="O1164" s="180"/>
      <c r="P1164" s="180"/>
    </row>
    <row r="1165" spans="1:16" x14ac:dyDescent="0.45">
      <c r="A1165" s="180" t="s">
        <v>15</v>
      </c>
      <c r="B1165" s="73">
        <v>14</v>
      </c>
      <c r="C1165" s="73"/>
      <c r="D1165" s="180" t="s">
        <v>296</v>
      </c>
      <c r="E1165" s="39">
        <v>43596</v>
      </c>
      <c r="F1165" s="179">
        <v>0.30694444444444441</v>
      </c>
      <c r="G1165" s="180">
        <v>1</v>
      </c>
      <c r="H1165" s="180" t="s">
        <v>481</v>
      </c>
      <c r="I1165" s="180"/>
      <c r="J1165" s="180"/>
      <c r="K1165" s="180"/>
      <c r="L1165" s="180"/>
      <c r="M1165" s="180"/>
      <c r="N1165" s="180"/>
      <c r="O1165" s="180"/>
      <c r="P1165" s="180"/>
    </row>
    <row r="1166" spans="1:16" x14ac:dyDescent="0.45">
      <c r="A1166" s="180" t="s">
        <v>15</v>
      </c>
      <c r="B1166" s="73">
        <v>2</v>
      </c>
      <c r="C1166" s="73"/>
      <c r="D1166" s="180" t="s">
        <v>271</v>
      </c>
      <c r="E1166" s="39">
        <v>43596</v>
      </c>
      <c r="F1166" s="179">
        <v>0.33333333333333331</v>
      </c>
      <c r="G1166" s="180">
        <v>10</v>
      </c>
      <c r="H1166" s="180" t="s">
        <v>325</v>
      </c>
      <c r="I1166" s="180"/>
      <c r="J1166" s="180"/>
      <c r="K1166" s="180"/>
      <c r="L1166" s="180"/>
      <c r="M1166" s="180"/>
      <c r="N1166" s="180"/>
      <c r="O1166" s="180"/>
      <c r="P1166" s="180"/>
    </row>
    <row r="1167" spans="1:16" x14ac:dyDescent="0.45">
      <c r="A1167" s="180" t="s">
        <v>15</v>
      </c>
      <c r="B1167" s="73">
        <v>16</v>
      </c>
      <c r="C1167" s="73"/>
      <c r="D1167" s="180" t="s">
        <v>271</v>
      </c>
      <c r="E1167" s="39">
        <v>43596</v>
      </c>
      <c r="F1167" s="179">
        <v>0.33194444444444443</v>
      </c>
      <c r="G1167" s="180">
        <v>2</v>
      </c>
      <c r="H1167" s="180"/>
      <c r="I1167" s="180"/>
      <c r="J1167" s="180"/>
      <c r="K1167" s="180"/>
      <c r="L1167" s="180"/>
      <c r="M1167" s="180"/>
      <c r="N1167" s="180"/>
      <c r="O1167" s="180"/>
      <c r="P1167" s="180"/>
    </row>
    <row r="1168" spans="1:16" x14ac:dyDescent="0.45">
      <c r="A1168" s="180" t="s">
        <v>15</v>
      </c>
      <c r="B1168" s="73">
        <v>6</v>
      </c>
      <c r="C1168" s="73"/>
      <c r="D1168" s="180" t="s">
        <v>271</v>
      </c>
      <c r="E1168" s="39">
        <v>43596</v>
      </c>
      <c r="F1168" s="179">
        <v>0.47916666666666669</v>
      </c>
      <c r="G1168" s="180">
        <v>4</v>
      </c>
      <c r="H1168" s="180" t="s">
        <v>393</v>
      </c>
      <c r="I1168" s="180"/>
      <c r="J1168" s="180"/>
      <c r="K1168" s="180"/>
      <c r="L1168" s="180"/>
      <c r="M1168" s="180"/>
      <c r="N1168" s="180"/>
      <c r="O1168" s="180"/>
      <c r="P1168" s="180"/>
    </row>
    <row r="1169" spans="1:16" x14ac:dyDescent="0.45">
      <c r="A1169" s="180" t="s">
        <v>15</v>
      </c>
      <c r="B1169" s="73">
        <v>63</v>
      </c>
      <c r="C1169" s="73">
        <v>63</v>
      </c>
      <c r="D1169" s="180" t="s">
        <v>271</v>
      </c>
      <c r="E1169" s="39">
        <v>43596</v>
      </c>
      <c r="F1169" s="179">
        <v>0.72499999999999998</v>
      </c>
      <c r="G1169" s="180">
        <v>1</v>
      </c>
      <c r="H1169" s="180"/>
      <c r="I1169" s="180"/>
      <c r="J1169" s="180"/>
      <c r="K1169" s="180"/>
      <c r="L1169" s="180"/>
      <c r="M1169" s="180"/>
      <c r="N1169" s="180"/>
      <c r="O1169" s="180"/>
      <c r="P1169" s="180"/>
    </row>
    <row r="1170" spans="1:16" x14ac:dyDescent="0.45">
      <c r="A1170" s="180" t="s">
        <v>15</v>
      </c>
      <c r="B1170" s="73">
        <v>14</v>
      </c>
      <c r="C1170" s="73"/>
      <c r="D1170" s="180" t="s">
        <v>271</v>
      </c>
      <c r="E1170" s="39">
        <v>43596</v>
      </c>
      <c r="F1170" s="179">
        <v>0.66666666666666663</v>
      </c>
      <c r="G1170" s="180">
        <v>7</v>
      </c>
      <c r="H1170" s="180" t="s">
        <v>392</v>
      </c>
      <c r="I1170" s="180"/>
      <c r="J1170" s="180"/>
      <c r="K1170" s="180"/>
      <c r="L1170" s="180"/>
      <c r="M1170" s="180"/>
      <c r="N1170" s="180"/>
      <c r="O1170" s="180"/>
      <c r="P1170" s="180"/>
    </row>
    <row r="1171" spans="1:16" x14ac:dyDescent="0.45">
      <c r="A1171" s="180" t="s">
        <v>15</v>
      </c>
      <c r="B1171" s="73">
        <v>14</v>
      </c>
      <c r="C1171" s="73"/>
      <c r="D1171" s="180" t="s">
        <v>271</v>
      </c>
      <c r="E1171" s="39">
        <v>43596</v>
      </c>
      <c r="F1171" s="179">
        <v>0.80486111111111114</v>
      </c>
      <c r="G1171" s="180">
        <v>1</v>
      </c>
      <c r="H1171" s="180"/>
      <c r="I1171" s="180"/>
      <c r="J1171" s="180"/>
      <c r="K1171" s="180"/>
      <c r="L1171" s="180"/>
      <c r="M1171" s="180"/>
      <c r="N1171" s="180"/>
      <c r="O1171" s="180"/>
      <c r="P1171" s="180"/>
    </row>
    <row r="1172" spans="1:16" x14ac:dyDescent="0.45">
      <c r="A1172" s="180" t="s">
        <v>15</v>
      </c>
      <c r="B1172" s="73">
        <v>18</v>
      </c>
      <c r="C1172" s="73"/>
      <c r="D1172" s="180" t="s">
        <v>271</v>
      </c>
      <c r="E1172" s="39">
        <v>43596</v>
      </c>
      <c r="F1172" s="179">
        <v>0.5756944444444444</v>
      </c>
      <c r="G1172" s="180">
        <v>2</v>
      </c>
      <c r="H1172" s="180"/>
      <c r="I1172" s="180"/>
      <c r="J1172" s="180"/>
      <c r="K1172" s="180"/>
      <c r="L1172" s="180"/>
      <c r="M1172" s="180"/>
      <c r="N1172" s="180"/>
      <c r="O1172" s="180"/>
      <c r="P1172" s="180"/>
    </row>
    <row r="1173" spans="1:16" x14ac:dyDescent="0.45">
      <c r="A1173" s="180" t="s">
        <v>15</v>
      </c>
      <c r="B1173" s="73">
        <v>18</v>
      </c>
      <c r="C1173" s="73"/>
      <c r="D1173" s="180" t="s">
        <v>271</v>
      </c>
      <c r="E1173" s="39">
        <v>43596</v>
      </c>
      <c r="F1173" s="179">
        <v>0.5756944444444444</v>
      </c>
      <c r="G1173" s="180">
        <v>2</v>
      </c>
      <c r="H1173" s="180"/>
      <c r="I1173" s="180"/>
      <c r="J1173" s="180"/>
      <c r="K1173" s="180"/>
      <c r="L1173" s="180"/>
      <c r="M1173" s="180"/>
      <c r="N1173" s="180"/>
      <c r="O1173" s="180"/>
      <c r="P1173" s="180"/>
    </row>
    <row r="1174" spans="1:16" x14ac:dyDescent="0.45">
      <c r="A1174" s="180" t="s">
        <v>15</v>
      </c>
      <c r="B1174" s="73">
        <v>12</v>
      </c>
      <c r="C1174" s="73"/>
      <c r="D1174" s="180" t="s">
        <v>271</v>
      </c>
      <c r="E1174" s="39">
        <v>43596</v>
      </c>
      <c r="F1174" s="179">
        <v>0.6743055555555556</v>
      </c>
      <c r="G1174" s="180">
        <v>2</v>
      </c>
      <c r="H1174" s="180"/>
      <c r="I1174" s="180"/>
      <c r="J1174" s="180"/>
      <c r="K1174" s="180"/>
      <c r="L1174" s="180"/>
      <c r="M1174" s="180"/>
      <c r="N1174" s="180"/>
      <c r="O1174" s="180"/>
      <c r="P1174" s="180"/>
    </row>
    <row r="1175" spans="1:16" x14ac:dyDescent="0.45">
      <c r="A1175" s="180" t="s">
        <v>15</v>
      </c>
      <c r="B1175" s="73">
        <v>1</v>
      </c>
      <c r="C1175" s="73"/>
      <c r="D1175" s="180" t="s">
        <v>415</v>
      </c>
      <c r="E1175" s="39">
        <v>43596</v>
      </c>
      <c r="F1175" s="179">
        <v>0.64374999999999993</v>
      </c>
      <c r="G1175" s="180">
        <v>2</v>
      </c>
      <c r="H1175" s="180"/>
      <c r="I1175" s="180"/>
      <c r="J1175" s="180"/>
      <c r="K1175" s="180"/>
      <c r="L1175" s="180"/>
      <c r="M1175" s="180"/>
      <c r="N1175" s="180"/>
      <c r="O1175" s="180"/>
      <c r="P1175" s="180"/>
    </row>
    <row r="1176" spans="1:16" x14ac:dyDescent="0.45">
      <c r="A1176" s="180" t="s">
        <v>15</v>
      </c>
      <c r="B1176" s="73">
        <v>1</v>
      </c>
      <c r="C1176" s="73"/>
      <c r="D1176" s="180" t="s">
        <v>415</v>
      </c>
      <c r="E1176" s="39">
        <v>43596</v>
      </c>
      <c r="F1176" s="179">
        <v>0.64374999999999993</v>
      </c>
      <c r="G1176" s="180">
        <v>2</v>
      </c>
      <c r="H1176" s="180"/>
      <c r="I1176" s="180"/>
      <c r="J1176" s="180"/>
      <c r="K1176" s="180"/>
      <c r="L1176" s="180"/>
      <c r="M1176" s="180"/>
      <c r="N1176" s="180"/>
      <c r="O1176" s="180"/>
      <c r="P1176" s="180"/>
    </row>
    <row r="1177" spans="1:16" x14ac:dyDescent="0.45">
      <c r="A1177" s="180" t="s">
        <v>15</v>
      </c>
      <c r="B1177" s="73">
        <v>15</v>
      </c>
      <c r="C1177" s="73"/>
      <c r="D1177" s="180" t="s">
        <v>529</v>
      </c>
      <c r="E1177" s="39">
        <v>43596</v>
      </c>
      <c r="F1177" s="179">
        <v>0.4375</v>
      </c>
      <c r="G1177" s="180">
        <v>4</v>
      </c>
      <c r="H1177" s="180" t="s">
        <v>530</v>
      </c>
      <c r="I1177" s="180"/>
      <c r="J1177" s="180"/>
      <c r="K1177" s="180"/>
      <c r="L1177" s="180"/>
      <c r="M1177" s="180"/>
      <c r="N1177" s="180"/>
      <c r="O1177" s="180"/>
      <c r="P1177" s="180"/>
    </row>
    <row r="1178" spans="1:16" x14ac:dyDescent="0.45">
      <c r="A1178" s="180" t="s">
        <v>15</v>
      </c>
      <c r="B1178" s="73">
        <v>25</v>
      </c>
      <c r="C1178" s="73">
        <v>25</v>
      </c>
      <c r="D1178" s="180" t="s">
        <v>367</v>
      </c>
      <c r="E1178" s="39">
        <v>43597</v>
      </c>
      <c r="F1178" s="179">
        <v>0.41597222222222219</v>
      </c>
      <c r="G1178" s="180">
        <v>1</v>
      </c>
      <c r="H1178" s="180"/>
      <c r="I1178" s="180"/>
      <c r="J1178" s="180"/>
      <c r="K1178" s="180"/>
      <c r="L1178" s="180"/>
      <c r="M1178" s="180"/>
      <c r="N1178" s="180"/>
      <c r="O1178" s="180"/>
      <c r="P1178" s="180"/>
    </row>
    <row r="1179" spans="1:16" x14ac:dyDescent="0.45">
      <c r="A1179" s="180" t="s">
        <v>15</v>
      </c>
      <c r="B1179" s="73">
        <v>5</v>
      </c>
      <c r="C1179" s="73">
        <v>5</v>
      </c>
      <c r="D1179" s="180" t="s">
        <v>288</v>
      </c>
      <c r="E1179" s="39">
        <v>43597</v>
      </c>
      <c r="F1179" s="179">
        <v>0.50763888888888886</v>
      </c>
      <c r="G1179" s="180">
        <v>8</v>
      </c>
      <c r="H1179" s="180" t="s">
        <v>401</v>
      </c>
      <c r="I1179" s="180"/>
      <c r="J1179" s="180"/>
      <c r="K1179" s="180"/>
      <c r="L1179" s="180"/>
      <c r="M1179" s="180"/>
      <c r="N1179" s="180"/>
      <c r="O1179" s="180"/>
      <c r="P1179" s="180"/>
    </row>
    <row r="1180" spans="1:16" x14ac:dyDescent="0.45">
      <c r="A1180" s="180" t="s">
        <v>15</v>
      </c>
      <c r="B1180" s="73">
        <v>5</v>
      </c>
      <c r="C1180" s="73"/>
      <c r="D1180" s="180" t="s">
        <v>288</v>
      </c>
      <c r="E1180" s="39">
        <v>43597</v>
      </c>
      <c r="F1180" s="179">
        <v>0.50763888888888886</v>
      </c>
      <c r="G1180" s="180">
        <v>8</v>
      </c>
      <c r="H1180" s="180" t="s">
        <v>401</v>
      </c>
      <c r="I1180" s="180"/>
      <c r="J1180" s="180"/>
      <c r="K1180" s="180"/>
      <c r="L1180" s="180"/>
      <c r="M1180" s="180"/>
      <c r="N1180" s="180"/>
      <c r="O1180" s="180"/>
      <c r="P1180" s="180"/>
    </row>
    <row r="1181" spans="1:16" x14ac:dyDescent="0.45">
      <c r="A1181" s="180" t="s">
        <v>15</v>
      </c>
      <c r="B1181" s="73">
        <v>23</v>
      </c>
      <c r="C1181" s="73">
        <v>23</v>
      </c>
      <c r="D1181" s="180" t="s">
        <v>128</v>
      </c>
      <c r="E1181" s="39">
        <v>43598</v>
      </c>
      <c r="F1181" s="179">
        <v>0.38541666666666669</v>
      </c>
      <c r="G1181" s="180">
        <v>6</v>
      </c>
      <c r="H1181" s="180" t="s">
        <v>402</v>
      </c>
      <c r="I1181" s="180"/>
      <c r="J1181" s="180"/>
      <c r="K1181" s="180"/>
      <c r="L1181" s="180"/>
      <c r="M1181" s="180"/>
      <c r="N1181" s="180"/>
      <c r="O1181" s="180"/>
      <c r="P1181" s="180"/>
    </row>
    <row r="1182" spans="1:16" x14ac:dyDescent="0.45">
      <c r="A1182" s="180" t="s">
        <v>15</v>
      </c>
      <c r="B1182" s="73">
        <v>11</v>
      </c>
      <c r="C1182" s="73">
        <v>11</v>
      </c>
      <c r="D1182" s="180" t="s">
        <v>311</v>
      </c>
      <c r="E1182" s="39">
        <v>43599</v>
      </c>
      <c r="F1182" s="179">
        <v>0.47361111111111115</v>
      </c>
      <c r="G1182" s="180">
        <v>1</v>
      </c>
      <c r="H1182" s="180"/>
      <c r="I1182" s="180"/>
      <c r="J1182" s="180"/>
      <c r="K1182" s="180"/>
      <c r="L1182" s="180"/>
      <c r="M1182" s="180"/>
      <c r="N1182" s="180"/>
      <c r="O1182" s="180"/>
      <c r="P1182" s="180"/>
    </row>
    <row r="1183" spans="1:16" x14ac:dyDescent="0.45">
      <c r="A1183" s="180" t="s">
        <v>15</v>
      </c>
      <c r="B1183" s="73">
        <v>1</v>
      </c>
      <c r="C1183" s="73">
        <v>1</v>
      </c>
      <c r="D1183" s="180" t="s">
        <v>425</v>
      </c>
      <c r="E1183" s="39">
        <v>43599</v>
      </c>
      <c r="F1183" s="179">
        <v>0.42638888888888887</v>
      </c>
      <c r="G1183" s="180">
        <v>2</v>
      </c>
      <c r="H1183" s="180"/>
      <c r="I1183" s="180"/>
      <c r="J1183" s="180"/>
      <c r="K1183" s="180"/>
      <c r="L1183" s="180"/>
      <c r="M1183" s="180"/>
      <c r="N1183" s="180"/>
      <c r="O1183" s="180"/>
      <c r="P1183" s="180"/>
    </row>
    <row r="1184" spans="1:16" x14ac:dyDescent="0.45">
      <c r="A1184" s="180" t="s">
        <v>15</v>
      </c>
      <c r="B1184" s="73">
        <v>1</v>
      </c>
      <c r="C1184" s="73"/>
      <c r="D1184" s="180" t="s">
        <v>296</v>
      </c>
      <c r="E1184" s="39">
        <v>43599</v>
      </c>
      <c r="F1184" s="179">
        <v>0.3743055555555555</v>
      </c>
      <c r="G1184" s="180">
        <v>2</v>
      </c>
      <c r="H1184" s="180"/>
      <c r="I1184" s="180"/>
      <c r="J1184" s="180"/>
      <c r="K1184" s="180"/>
      <c r="L1184" s="180"/>
      <c r="M1184" s="180"/>
      <c r="N1184" s="180"/>
      <c r="O1184" s="180"/>
      <c r="P1184" s="180"/>
    </row>
    <row r="1185" spans="1:16" x14ac:dyDescent="0.45">
      <c r="A1185" s="180" t="s">
        <v>15</v>
      </c>
      <c r="B1185" s="73">
        <v>8</v>
      </c>
      <c r="C1185" s="73">
        <v>8</v>
      </c>
      <c r="D1185" s="180" t="s">
        <v>271</v>
      </c>
      <c r="E1185" s="39">
        <v>43600</v>
      </c>
      <c r="F1185" s="179">
        <v>0.59027777777777779</v>
      </c>
      <c r="G1185" s="180">
        <v>2</v>
      </c>
      <c r="H1185" s="180"/>
      <c r="I1185" s="180"/>
      <c r="J1185" s="180"/>
      <c r="K1185" s="180"/>
      <c r="L1185" s="180"/>
      <c r="M1185" s="180"/>
      <c r="N1185" s="180"/>
      <c r="O1185" s="180"/>
      <c r="P1185" s="180"/>
    </row>
    <row r="1186" spans="1:16" x14ac:dyDescent="0.45">
      <c r="A1186" s="180" t="s">
        <v>15</v>
      </c>
      <c r="B1186" s="73">
        <v>10</v>
      </c>
      <c r="C1186" s="73">
        <v>10</v>
      </c>
      <c r="D1186" s="180" t="s">
        <v>271</v>
      </c>
      <c r="E1186" s="39">
        <v>43605</v>
      </c>
      <c r="F1186" s="179">
        <v>0.8256944444444444</v>
      </c>
      <c r="G1186" s="180">
        <v>1</v>
      </c>
      <c r="H1186" s="180"/>
      <c r="I1186" s="180"/>
      <c r="J1186" s="180"/>
      <c r="K1186" s="180"/>
      <c r="L1186" s="180"/>
      <c r="M1186" s="180"/>
      <c r="N1186" s="180"/>
      <c r="O1186" s="180"/>
      <c r="P1186" s="180"/>
    </row>
    <row r="1187" spans="1:16" x14ac:dyDescent="0.45">
      <c r="A1187" s="180" t="s">
        <v>15</v>
      </c>
      <c r="B1187" s="73">
        <v>2</v>
      </c>
      <c r="C1187" s="73">
        <v>2</v>
      </c>
      <c r="D1187" s="180" t="s">
        <v>271</v>
      </c>
      <c r="E1187" s="39">
        <v>43607</v>
      </c>
      <c r="F1187" s="179">
        <v>0.3923611111111111</v>
      </c>
      <c r="G1187" s="180">
        <v>2</v>
      </c>
      <c r="H1187" s="180"/>
      <c r="I1187" s="180"/>
      <c r="J1187" s="180"/>
      <c r="K1187" s="180"/>
      <c r="L1187" s="180"/>
      <c r="M1187" s="180"/>
      <c r="N1187" s="180"/>
      <c r="O1187" s="180"/>
      <c r="P1187" s="180"/>
    </row>
    <row r="1188" spans="1:16" x14ac:dyDescent="0.45">
      <c r="A1188" s="1" t="s">
        <v>273</v>
      </c>
      <c r="B1188" s="73"/>
      <c r="C1188" s="73">
        <f>SUM(C1108:C1187)</f>
        <v>317</v>
      </c>
      <c r="D1188" s="180"/>
      <c r="E1188" s="39"/>
      <c r="F1188" s="179"/>
      <c r="G1188" s="180"/>
      <c r="H1188" s="180"/>
      <c r="I1188" s="180"/>
      <c r="J1188" s="180"/>
      <c r="K1188" s="180"/>
      <c r="L1188" s="180"/>
      <c r="M1188" s="180"/>
      <c r="N1188" s="180"/>
      <c r="O1188" s="180"/>
      <c r="P1188" s="180"/>
    </row>
    <row r="1189" spans="1:16" x14ac:dyDescent="0.45">
      <c r="A1189" s="180"/>
      <c r="B1189" s="73"/>
      <c r="C1189" s="73"/>
      <c r="D1189" s="180"/>
      <c r="E1189" s="39"/>
      <c r="F1189" s="179"/>
      <c r="G1189" s="180"/>
      <c r="H1189" s="180"/>
      <c r="I1189" s="180"/>
      <c r="J1189" s="180"/>
      <c r="K1189" s="180"/>
      <c r="L1189" s="180"/>
      <c r="M1189" s="180"/>
      <c r="N1189" s="180"/>
      <c r="O1189" s="180"/>
      <c r="P1189" s="180"/>
    </row>
    <row r="1190" spans="1:16" x14ac:dyDescent="0.45">
      <c r="A1190" s="180" t="s">
        <v>183</v>
      </c>
      <c r="B1190" s="73">
        <v>17</v>
      </c>
      <c r="C1190" s="73">
        <v>17</v>
      </c>
      <c r="D1190" s="180" t="s">
        <v>311</v>
      </c>
      <c r="E1190" s="39">
        <v>43588</v>
      </c>
      <c r="F1190" s="179">
        <v>0.67708333333333337</v>
      </c>
      <c r="G1190" s="180">
        <v>9</v>
      </c>
      <c r="H1190" s="180" t="s">
        <v>312</v>
      </c>
      <c r="I1190" s="180"/>
      <c r="J1190" s="180"/>
      <c r="K1190" s="180"/>
      <c r="L1190" s="180"/>
      <c r="M1190" s="180"/>
      <c r="N1190" s="180"/>
      <c r="O1190" s="180"/>
      <c r="P1190" s="180"/>
    </row>
    <row r="1191" spans="1:16" x14ac:dyDescent="0.45">
      <c r="A1191" s="180" t="s">
        <v>183</v>
      </c>
      <c r="B1191" s="73">
        <v>16</v>
      </c>
      <c r="C1191" s="73">
        <v>16</v>
      </c>
      <c r="D1191" s="180" t="s">
        <v>309</v>
      </c>
      <c r="E1191" s="39">
        <v>43588</v>
      </c>
      <c r="F1191" s="179">
        <v>0.67708333333333337</v>
      </c>
      <c r="G1191" s="180">
        <v>3</v>
      </c>
      <c r="H1191" s="180" t="s">
        <v>312</v>
      </c>
      <c r="I1191" s="180"/>
      <c r="J1191" s="180"/>
      <c r="K1191" s="180"/>
      <c r="L1191" s="180"/>
      <c r="M1191" s="180"/>
      <c r="N1191" s="180"/>
      <c r="O1191" s="180"/>
      <c r="P1191" s="180"/>
    </row>
    <row r="1192" spans="1:16" x14ac:dyDescent="0.45">
      <c r="A1192" s="180" t="s">
        <v>183</v>
      </c>
      <c r="B1192" s="73">
        <v>2</v>
      </c>
      <c r="C1192" s="73"/>
      <c r="D1192" s="180" t="s">
        <v>309</v>
      </c>
      <c r="E1192" s="39">
        <v>43588</v>
      </c>
      <c r="F1192" s="179">
        <v>0.71527777777777779</v>
      </c>
      <c r="G1192" s="180">
        <v>1</v>
      </c>
      <c r="H1192" s="180"/>
      <c r="I1192" s="180"/>
      <c r="J1192" s="180"/>
      <c r="K1192" s="180"/>
      <c r="L1192" s="180"/>
      <c r="M1192" s="180"/>
      <c r="N1192" s="180"/>
      <c r="O1192" s="180"/>
      <c r="P1192" s="180"/>
    </row>
    <row r="1193" spans="1:16" x14ac:dyDescent="0.45">
      <c r="A1193" s="180" t="s">
        <v>183</v>
      </c>
      <c r="B1193" s="73">
        <v>3</v>
      </c>
      <c r="C1193" s="73">
        <v>3</v>
      </c>
      <c r="D1193" s="180" t="s">
        <v>296</v>
      </c>
      <c r="E1193" s="39">
        <v>43592</v>
      </c>
      <c r="F1193" s="179">
        <v>0.71388888888888891</v>
      </c>
      <c r="G1193" s="180">
        <v>1</v>
      </c>
      <c r="H1193" s="180" t="s">
        <v>431</v>
      </c>
      <c r="I1193" s="180"/>
      <c r="J1193" s="180"/>
      <c r="K1193" s="180"/>
      <c r="L1193" s="180"/>
      <c r="M1193" s="180"/>
      <c r="N1193" s="180"/>
      <c r="O1193" s="180"/>
      <c r="P1193" s="180"/>
    </row>
    <row r="1194" spans="1:16" x14ac:dyDescent="0.45">
      <c r="A1194" s="180" t="s">
        <v>183</v>
      </c>
      <c r="B1194" s="73">
        <v>32</v>
      </c>
      <c r="C1194" s="73"/>
      <c r="D1194" s="180" t="s">
        <v>317</v>
      </c>
      <c r="E1194" s="39">
        <v>43593</v>
      </c>
      <c r="F1194" s="179">
        <v>0.79722222222222217</v>
      </c>
      <c r="G1194" s="180">
        <v>7</v>
      </c>
      <c r="H1194" s="180"/>
      <c r="I1194" s="180"/>
      <c r="J1194" s="180"/>
      <c r="K1194" s="180"/>
      <c r="L1194" s="180"/>
      <c r="M1194" s="180"/>
      <c r="N1194" s="180"/>
      <c r="O1194" s="180"/>
      <c r="P1194" s="180"/>
    </row>
    <row r="1195" spans="1:16" x14ac:dyDescent="0.45">
      <c r="A1195" s="180" t="s">
        <v>183</v>
      </c>
      <c r="B1195" s="73">
        <v>32</v>
      </c>
      <c r="C1195" s="73">
        <v>32</v>
      </c>
      <c r="D1195" s="180" t="s">
        <v>311</v>
      </c>
      <c r="E1195" s="39">
        <v>43593</v>
      </c>
      <c r="F1195" s="179">
        <v>0.80208333333333337</v>
      </c>
      <c r="G1195" s="180">
        <v>7</v>
      </c>
      <c r="H1195" s="180" t="s">
        <v>280</v>
      </c>
      <c r="I1195" s="180"/>
      <c r="J1195" s="180"/>
      <c r="K1195" s="180"/>
      <c r="L1195" s="180"/>
      <c r="M1195" s="180"/>
      <c r="N1195" s="180"/>
      <c r="O1195" s="180"/>
      <c r="P1195" s="180"/>
    </row>
    <row r="1196" spans="1:16" x14ac:dyDescent="0.45">
      <c r="A1196" s="180" t="s">
        <v>183</v>
      </c>
      <c r="B1196" s="73">
        <v>21</v>
      </c>
      <c r="C1196" s="73">
        <v>21</v>
      </c>
      <c r="D1196" s="180" t="s">
        <v>309</v>
      </c>
      <c r="E1196" s="39">
        <v>43593</v>
      </c>
      <c r="F1196" s="179">
        <v>0.80208333333333337</v>
      </c>
      <c r="G1196" s="180">
        <v>5</v>
      </c>
      <c r="H1196" s="180"/>
      <c r="I1196" s="180"/>
      <c r="J1196" s="180"/>
      <c r="K1196" s="180"/>
      <c r="L1196" s="180"/>
      <c r="M1196" s="180"/>
      <c r="N1196" s="180"/>
      <c r="O1196" s="180"/>
      <c r="P1196" s="180"/>
    </row>
    <row r="1197" spans="1:16" x14ac:dyDescent="0.45">
      <c r="A1197" s="180" t="s">
        <v>183</v>
      </c>
      <c r="B1197" s="73">
        <v>4</v>
      </c>
      <c r="C1197" s="73"/>
      <c r="D1197" s="180" t="s">
        <v>296</v>
      </c>
      <c r="E1197" s="39">
        <v>43593</v>
      </c>
      <c r="F1197" s="179">
        <v>0.41666666666666669</v>
      </c>
      <c r="G1197" s="180">
        <v>4</v>
      </c>
      <c r="H1197" s="180" t="s">
        <v>531</v>
      </c>
      <c r="I1197" s="180"/>
      <c r="J1197" s="180"/>
      <c r="K1197" s="180"/>
      <c r="L1197" s="180"/>
      <c r="M1197" s="180"/>
      <c r="N1197" s="180"/>
      <c r="O1197" s="180"/>
      <c r="P1197" s="180"/>
    </row>
    <row r="1198" spans="1:16" x14ac:dyDescent="0.45">
      <c r="A1198" s="180" t="s">
        <v>183</v>
      </c>
      <c r="B1198" s="73">
        <v>5</v>
      </c>
      <c r="C1198" s="73">
        <v>5</v>
      </c>
      <c r="D1198" s="180" t="s">
        <v>296</v>
      </c>
      <c r="E1198" s="39">
        <v>43593</v>
      </c>
      <c r="F1198" s="179">
        <v>0.68055555555555547</v>
      </c>
      <c r="G1198" s="180">
        <v>1</v>
      </c>
      <c r="H1198" s="180"/>
      <c r="I1198" s="180"/>
      <c r="J1198" s="180"/>
      <c r="K1198" s="180"/>
      <c r="L1198" s="180"/>
      <c r="M1198" s="180"/>
      <c r="N1198" s="180"/>
      <c r="O1198" s="180"/>
      <c r="P1198" s="180"/>
    </row>
    <row r="1199" spans="1:16" x14ac:dyDescent="0.45">
      <c r="A1199" s="180" t="s">
        <v>183</v>
      </c>
      <c r="B1199" s="73">
        <v>1</v>
      </c>
      <c r="C1199" s="73">
        <v>1</v>
      </c>
      <c r="D1199" s="180" t="s">
        <v>271</v>
      </c>
      <c r="E1199" s="39">
        <v>43594</v>
      </c>
      <c r="F1199" s="179">
        <v>0.65763888888888888</v>
      </c>
      <c r="G1199" s="180">
        <v>1</v>
      </c>
      <c r="H1199" s="180"/>
      <c r="I1199" s="180"/>
      <c r="J1199" s="180"/>
      <c r="K1199" s="180"/>
      <c r="L1199" s="180"/>
      <c r="M1199" s="180"/>
      <c r="N1199" s="180"/>
      <c r="O1199" s="180"/>
      <c r="P1199" s="180"/>
    </row>
    <row r="1200" spans="1:16" x14ac:dyDescent="0.45">
      <c r="A1200" s="180" t="s">
        <v>183</v>
      </c>
      <c r="B1200" s="73">
        <v>10</v>
      </c>
      <c r="C1200" s="73">
        <v>10</v>
      </c>
      <c r="D1200" s="180" t="s">
        <v>309</v>
      </c>
      <c r="E1200" s="39">
        <v>43595</v>
      </c>
      <c r="F1200" s="179">
        <v>0.80138888888888893</v>
      </c>
      <c r="G1200" s="180">
        <v>1</v>
      </c>
      <c r="H1200" s="180"/>
      <c r="I1200" s="180"/>
      <c r="J1200" s="180"/>
      <c r="K1200" s="180"/>
      <c r="L1200" s="180"/>
      <c r="M1200" s="180"/>
      <c r="N1200" s="180"/>
      <c r="O1200" s="180"/>
      <c r="P1200" s="180"/>
    </row>
    <row r="1201" spans="1:16" x14ac:dyDescent="0.45">
      <c r="A1201" s="180" t="s">
        <v>183</v>
      </c>
      <c r="B1201" s="73">
        <v>8</v>
      </c>
      <c r="C1201" s="73"/>
      <c r="D1201" s="180" t="s">
        <v>296</v>
      </c>
      <c r="E1201" s="39">
        <v>43595</v>
      </c>
      <c r="F1201" s="180"/>
      <c r="G1201" s="180"/>
      <c r="H1201" s="180"/>
      <c r="I1201" s="180"/>
      <c r="J1201" s="180"/>
      <c r="K1201" s="180"/>
      <c r="L1201" s="180"/>
      <c r="M1201" s="180"/>
      <c r="N1201" s="180"/>
      <c r="O1201" s="180"/>
      <c r="P1201" s="180"/>
    </row>
    <row r="1202" spans="1:16" x14ac:dyDescent="0.45">
      <c r="A1202" s="180" t="s">
        <v>183</v>
      </c>
      <c r="B1202" s="73">
        <v>6</v>
      </c>
      <c r="C1202" s="73"/>
      <c r="D1202" s="180" t="s">
        <v>296</v>
      </c>
      <c r="E1202" s="39">
        <v>43595</v>
      </c>
      <c r="F1202" s="179">
        <v>0.7715277777777777</v>
      </c>
      <c r="G1202" s="180">
        <v>6</v>
      </c>
      <c r="H1202" s="180"/>
      <c r="I1202" s="180"/>
      <c r="J1202" s="180"/>
      <c r="K1202" s="180"/>
      <c r="L1202" s="180"/>
      <c r="M1202" s="180"/>
      <c r="N1202" s="180"/>
      <c r="O1202" s="180"/>
      <c r="P1202" s="180"/>
    </row>
    <row r="1203" spans="1:16" x14ac:dyDescent="0.45">
      <c r="A1203" s="180" t="s">
        <v>183</v>
      </c>
      <c r="B1203" s="73">
        <v>1</v>
      </c>
      <c r="C1203" s="73"/>
      <c r="D1203" s="180" t="s">
        <v>296</v>
      </c>
      <c r="E1203" s="39">
        <v>43595</v>
      </c>
      <c r="F1203" s="179">
        <v>0.6875</v>
      </c>
      <c r="G1203" s="180">
        <v>1</v>
      </c>
      <c r="H1203" s="180"/>
      <c r="I1203" s="180"/>
      <c r="J1203" s="180"/>
      <c r="K1203" s="180"/>
      <c r="L1203" s="180"/>
      <c r="M1203" s="180"/>
      <c r="N1203" s="180"/>
      <c r="O1203" s="180"/>
      <c r="P1203" s="180"/>
    </row>
    <row r="1204" spans="1:16" x14ac:dyDescent="0.45">
      <c r="A1204" s="180" t="s">
        <v>183</v>
      </c>
      <c r="B1204" s="73">
        <v>10</v>
      </c>
      <c r="C1204" s="73">
        <v>10</v>
      </c>
      <c r="D1204" s="180" t="s">
        <v>271</v>
      </c>
      <c r="E1204" s="39">
        <v>43595</v>
      </c>
      <c r="F1204" s="180"/>
      <c r="G1204" s="180"/>
      <c r="H1204" s="180"/>
      <c r="I1204" s="180"/>
      <c r="J1204" s="180"/>
      <c r="K1204" s="180"/>
      <c r="L1204" s="180"/>
      <c r="M1204" s="180"/>
      <c r="N1204" s="180"/>
      <c r="O1204" s="180"/>
      <c r="P1204" s="180"/>
    </row>
    <row r="1205" spans="1:16" x14ac:dyDescent="0.45">
      <c r="A1205" s="180" t="s">
        <v>183</v>
      </c>
      <c r="B1205" s="73">
        <v>4</v>
      </c>
      <c r="C1205" s="73"/>
      <c r="D1205" s="180" t="s">
        <v>415</v>
      </c>
      <c r="E1205" s="39">
        <v>43595</v>
      </c>
      <c r="F1205" s="180"/>
      <c r="G1205" s="180"/>
      <c r="H1205" s="180"/>
      <c r="I1205" s="180"/>
      <c r="J1205" s="180"/>
      <c r="K1205" s="180"/>
      <c r="L1205" s="180"/>
      <c r="M1205" s="180"/>
      <c r="N1205" s="180"/>
      <c r="O1205" s="180"/>
      <c r="P1205" s="180"/>
    </row>
    <row r="1206" spans="1:16" x14ac:dyDescent="0.45">
      <c r="A1206" s="180" t="s">
        <v>183</v>
      </c>
      <c r="B1206" s="73">
        <v>40</v>
      </c>
      <c r="C1206" s="73">
        <v>40</v>
      </c>
      <c r="D1206" s="180" t="s">
        <v>332</v>
      </c>
      <c r="E1206" s="39">
        <v>43596</v>
      </c>
      <c r="F1206" s="179">
        <v>0.64236111111111105</v>
      </c>
      <c r="G1206" s="180">
        <v>15</v>
      </c>
      <c r="H1206" s="180"/>
      <c r="I1206" s="180"/>
      <c r="J1206" s="180"/>
      <c r="K1206" s="180"/>
      <c r="L1206" s="180"/>
      <c r="M1206" s="180"/>
      <c r="N1206" s="180"/>
      <c r="O1206" s="180"/>
      <c r="P1206" s="180"/>
    </row>
    <row r="1207" spans="1:16" x14ac:dyDescent="0.45">
      <c r="A1207" s="180" t="s">
        <v>183</v>
      </c>
      <c r="B1207" s="73">
        <v>16</v>
      </c>
      <c r="C1207" s="73"/>
      <c r="D1207" s="180" t="s">
        <v>332</v>
      </c>
      <c r="E1207" s="39">
        <v>43596</v>
      </c>
      <c r="F1207" s="179">
        <v>0.83472222222222225</v>
      </c>
      <c r="G1207" s="180">
        <v>1</v>
      </c>
      <c r="H1207" s="180"/>
      <c r="I1207" s="180"/>
      <c r="J1207" s="180"/>
      <c r="K1207" s="180"/>
      <c r="L1207" s="180"/>
      <c r="M1207" s="180"/>
      <c r="N1207" s="180"/>
      <c r="O1207" s="180"/>
      <c r="P1207" s="180"/>
    </row>
    <row r="1208" spans="1:16" x14ac:dyDescent="0.45">
      <c r="A1208" s="180" t="s">
        <v>183</v>
      </c>
      <c r="B1208" s="73">
        <v>3</v>
      </c>
      <c r="C1208" s="73"/>
      <c r="D1208" s="180" t="s">
        <v>309</v>
      </c>
      <c r="E1208" s="39">
        <v>43596</v>
      </c>
      <c r="F1208" s="179">
        <v>0.375</v>
      </c>
      <c r="G1208" s="180">
        <v>1</v>
      </c>
      <c r="H1208" s="180"/>
      <c r="I1208" s="180"/>
      <c r="J1208" s="180"/>
      <c r="K1208" s="180"/>
      <c r="L1208" s="180"/>
      <c r="M1208" s="180"/>
      <c r="N1208" s="180"/>
      <c r="O1208" s="180"/>
      <c r="P1208" s="180"/>
    </row>
    <row r="1209" spans="1:16" x14ac:dyDescent="0.45">
      <c r="A1209" s="180" t="s">
        <v>183</v>
      </c>
      <c r="B1209" s="73">
        <v>20</v>
      </c>
      <c r="C1209" s="73"/>
      <c r="D1209" s="180" t="s">
        <v>309</v>
      </c>
      <c r="E1209" s="39">
        <v>43596</v>
      </c>
      <c r="F1209" s="179">
        <v>0.36319444444444443</v>
      </c>
      <c r="G1209" s="180">
        <v>1</v>
      </c>
      <c r="H1209" s="180" t="s">
        <v>360</v>
      </c>
      <c r="I1209" s="180"/>
      <c r="J1209" s="180"/>
      <c r="K1209" s="180"/>
      <c r="L1209" s="180"/>
      <c r="M1209" s="180"/>
      <c r="N1209" s="180"/>
      <c r="O1209" s="180"/>
      <c r="P1209" s="180"/>
    </row>
    <row r="1210" spans="1:16" x14ac:dyDescent="0.45">
      <c r="A1210" s="180" t="s">
        <v>183</v>
      </c>
      <c r="B1210" s="73">
        <v>5</v>
      </c>
      <c r="C1210" s="73"/>
      <c r="D1210" s="180" t="s">
        <v>309</v>
      </c>
      <c r="E1210" s="39">
        <v>43596</v>
      </c>
      <c r="F1210" s="179">
        <v>0.28611111111111115</v>
      </c>
      <c r="G1210" s="180">
        <v>13</v>
      </c>
      <c r="H1210" s="180"/>
      <c r="I1210" s="180"/>
      <c r="J1210" s="180"/>
      <c r="K1210" s="180"/>
      <c r="L1210" s="180"/>
      <c r="M1210" s="180"/>
      <c r="N1210" s="180"/>
      <c r="O1210" s="180"/>
      <c r="P1210" s="180"/>
    </row>
    <row r="1211" spans="1:16" x14ac:dyDescent="0.45">
      <c r="A1211" s="180" t="s">
        <v>183</v>
      </c>
      <c r="B1211" s="73">
        <v>45</v>
      </c>
      <c r="C1211" s="73">
        <v>45</v>
      </c>
      <c r="D1211" s="180" t="s">
        <v>309</v>
      </c>
      <c r="E1211" s="39">
        <v>43596</v>
      </c>
      <c r="F1211" s="179">
        <v>0.3347222222222222</v>
      </c>
      <c r="G1211" s="180">
        <v>1</v>
      </c>
      <c r="H1211" s="180"/>
      <c r="I1211" s="180"/>
      <c r="J1211" s="180"/>
      <c r="K1211" s="180"/>
      <c r="L1211" s="180"/>
      <c r="M1211" s="180"/>
      <c r="N1211" s="180"/>
      <c r="O1211" s="180"/>
      <c r="P1211" s="180"/>
    </row>
    <row r="1212" spans="1:16" x14ac:dyDescent="0.45">
      <c r="A1212" s="180" t="s">
        <v>183</v>
      </c>
      <c r="B1212" s="73">
        <v>2</v>
      </c>
      <c r="C1212" s="73"/>
      <c r="D1212" s="180" t="s">
        <v>309</v>
      </c>
      <c r="E1212" s="39">
        <v>43596</v>
      </c>
      <c r="F1212" s="179">
        <v>0.55972222222222223</v>
      </c>
      <c r="G1212" s="180">
        <v>15</v>
      </c>
      <c r="H1212" s="180"/>
      <c r="I1212" s="180"/>
      <c r="J1212" s="180"/>
      <c r="K1212" s="180"/>
      <c r="L1212" s="180"/>
      <c r="M1212" s="180"/>
      <c r="N1212" s="180"/>
      <c r="O1212" s="180"/>
      <c r="P1212" s="180"/>
    </row>
    <row r="1213" spans="1:16" x14ac:dyDescent="0.45">
      <c r="A1213" s="180" t="s">
        <v>183</v>
      </c>
      <c r="B1213" s="73">
        <v>22</v>
      </c>
      <c r="C1213" s="73"/>
      <c r="D1213" s="180" t="s">
        <v>309</v>
      </c>
      <c r="E1213" s="39">
        <v>43596</v>
      </c>
      <c r="F1213" s="179">
        <v>0.87222222222222223</v>
      </c>
      <c r="G1213" s="180">
        <v>4</v>
      </c>
      <c r="H1213" s="180"/>
      <c r="I1213" s="180"/>
      <c r="J1213" s="180"/>
      <c r="K1213" s="180"/>
      <c r="L1213" s="180"/>
      <c r="M1213" s="180"/>
      <c r="N1213" s="180"/>
      <c r="O1213" s="180"/>
      <c r="P1213" s="180"/>
    </row>
    <row r="1214" spans="1:16" x14ac:dyDescent="0.45">
      <c r="A1214" s="180" t="s">
        <v>183</v>
      </c>
      <c r="B1214" s="73">
        <v>18</v>
      </c>
      <c r="C1214" s="73"/>
      <c r="D1214" s="180" t="s">
        <v>309</v>
      </c>
      <c r="E1214" s="39">
        <v>43596</v>
      </c>
      <c r="F1214" s="179">
        <v>0.32291666666666669</v>
      </c>
      <c r="G1214" s="180">
        <v>5</v>
      </c>
      <c r="H1214" s="180"/>
      <c r="I1214" s="180"/>
      <c r="J1214" s="180"/>
      <c r="K1214" s="180"/>
      <c r="L1214" s="180"/>
      <c r="M1214" s="180"/>
      <c r="N1214" s="180"/>
      <c r="O1214" s="180"/>
      <c r="P1214" s="180"/>
    </row>
    <row r="1215" spans="1:16" x14ac:dyDescent="0.45">
      <c r="A1215" s="180" t="s">
        <v>183</v>
      </c>
      <c r="B1215" s="73">
        <v>17</v>
      </c>
      <c r="C1215" s="73"/>
      <c r="D1215" s="180" t="s">
        <v>376</v>
      </c>
      <c r="E1215" s="39">
        <v>43596</v>
      </c>
      <c r="F1215" s="179">
        <v>0.72083333333333333</v>
      </c>
      <c r="G1215" s="180">
        <v>3</v>
      </c>
      <c r="H1215" s="180"/>
      <c r="I1215" s="180"/>
      <c r="J1215" s="180"/>
      <c r="K1215" s="180"/>
      <c r="L1215" s="180"/>
      <c r="M1215" s="180"/>
      <c r="N1215" s="180"/>
      <c r="O1215" s="180"/>
      <c r="P1215" s="180"/>
    </row>
    <row r="1216" spans="1:16" x14ac:dyDescent="0.45">
      <c r="A1216" s="180" t="s">
        <v>183</v>
      </c>
      <c r="B1216" s="73">
        <v>20</v>
      </c>
      <c r="C1216" s="73"/>
      <c r="D1216" s="180" t="s">
        <v>296</v>
      </c>
      <c r="E1216" s="39">
        <v>43596</v>
      </c>
      <c r="F1216" s="179">
        <v>0.27083333333333331</v>
      </c>
      <c r="G1216" s="180">
        <v>1</v>
      </c>
      <c r="H1216" s="180"/>
      <c r="I1216" s="180"/>
      <c r="J1216" s="180"/>
      <c r="K1216" s="180"/>
      <c r="L1216" s="180"/>
      <c r="M1216" s="180"/>
      <c r="N1216" s="180"/>
      <c r="O1216" s="180"/>
      <c r="P1216" s="180"/>
    </row>
    <row r="1217" spans="1:16" x14ac:dyDescent="0.45">
      <c r="A1217" s="180" t="s">
        <v>183</v>
      </c>
      <c r="B1217" s="73">
        <v>10</v>
      </c>
      <c r="C1217" s="73"/>
      <c r="D1217" s="180" t="s">
        <v>271</v>
      </c>
      <c r="E1217" s="39">
        <v>43596</v>
      </c>
      <c r="F1217" s="179">
        <v>0.625</v>
      </c>
      <c r="G1217" s="180">
        <v>1</v>
      </c>
      <c r="H1217" s="180"/>
      <c r="I1217" s="180"/>
      <c r="J1217" s="180"/>
      <c r="K1217" s="180"/>
      <c r="L1217" s="180"/>
      <c r="M1217" s="180"/>
      <c r="N1217" s="180"/>
      <c r="O1217" s="180"/>
      <c r="P1217" s="180"/>
    </row>
    <row r="1218" spans="1:16" x14ac:dyDescent="0.45">
      <c r="A1218" s="180" t="s">
        <v>183</v>
      </c>
      <c r="B1218" s="73">
        <v>4</v>
      </c>
      <c r="C1218" s="73"/>
      <c r="D1218" s="180" t="s">
        <v>271</v>
      </c>
      <c r="E1218" s="39">
        <v>43596</v>
      </c>
      <c r="F1218" s="179">
        <v>0.5083333333333333</v>
      </c>
      <c r="G1218" s="180">
        <v>2</v>
      </c>
      <c r="H1218" s="180"/>
      <c r="I1218" s="180"/>
      <c r="J1218" s="180"/>
      <c r="K1218" s="180"/>
      <c r="L1218" s="180"/>
      <c r="M1218" s="180"/>
      <c r="N1218" s="180"/>
      <c r="O1218" s="180"/>
      <c r="P1218" s="180"/>
    </row>
    <row r="1219" spans="1:16" x14ac:dyDescent="0.45">
      <c r="A1219" s="180" t="s">
        <v>183</v>
      </c>
      <c r="B1219" s="73">
        <v>4</v>
      </c>
      <c r="C1219" s="73"/>
      <c r="D1219" s="180" t="s">
        <v>271</v>
      </c>
      <c r="E1219" s="39">
        <v>43596</v>
      </c>
      <c r="F1219" s="179">
        <v>0.4861111111111111</v>
      </c>
      <c r="G1219" s="180">
        <v>1</v>
      </c>
      <c r="H1219" s="180" t="s">
        <v>390</v>
      </c>
      <c r="I1219" s="180"/>
      <c r="J1219" s="180"/>
      <c r="K1219" s="180"/>
      <c r="L1219" s="180"/>
      <c r="M1219" s="180"/>
      <c r="N1219" s="180"/>
      <c r="O1219" s="180"/>
      <c r="P1219" s="180"/>
    </row>
    <row r="1220" spans="1:16" x14ac:dyDescent="0.45">
      <c r="A1220" s="180" t="s">
        <v>183</v>
      </c>
      <c r="B1220" s="73">
        <v>40</v>
      </c>
      <c r="C1220" s="73">
        <v>40</v>
      </c>
      <c r="D1220" s="180" t="s">
        <v>415</v>
      </c>
      <c r="E1220" s="39">
        <v>43596</v>
      </c>
      <c r="F1220" s="179">
        <v>0.64374999999999993</v>
      </c>
      <c r="G1220" s="180">
        <v>2</v>
      </c>
      <c r="H1220" s="180"/>
      <c r="I1220" s="180"/>
      <c r="J1220" s="180"/>
      <c r="K1220" s="180"/>
      <c r="L1220" s="180"/>
      <c r="M1220" s="180"/>
      <c r="N1220" s="180"/>
      <c r="O1220" s="180"/>
      <c r="P1220" s="180"/>
    </row>
    <row r="1221" spans="1:16" x14ac:dyDescent="0.45">
      <c r="A1221" s="180" t="s">
        <v>183</v>
      </c>
      <c r="B1221" s="73">
        <v>40</v>
      </c>
      <c r="C1221" s="73"/>
      <c r="D1221" s="180" t="s">
        <v>415</v>
      </c>
      <c r="E1221" s="39">
        <v>43596</v>
      </c>
      <c r="F1221" s="179">
        <v>0.64374999999999993</v>
      </c>
      <c r="G1221" s="180">
        <v>2</v>
      </c>
      <c r="H1221" s="180"/>
      <c r="I1221" s="180"/>
      <c r="J1221" s="180"/>
      <c r="K1221" s="180"/>
      <c r="L1221" s="180"/>
      <c r="M1221" s="180"/>
      <c r="N1221" s="180"/>
      <c r="O1221" s="180"/>
      <c r="P1221" s="180"/>
    </row>
    <row r="1222" spans="1:16" x14ac:dyDescent="0.45">
      <c r="A1222" s="180" t="s">
        <v>183</v>
      </c>
      <c r="B1222" s="73">
        <v>20</v>
      </c>
      <c r="C1222" s="73"/>
      <c r="D1222" s="180" t="s">
        <v>394</v>
      </c>
      <c r="E1222" s="39">
        <v>43597</v>
      </c>
      <c r="F1222" s="179">
        <v>0.41736111111111113</v>
      </c>
      <c r="G1222" s="180">
        <v>1</v>
      </c>
      <c r="H1222" s="180"/>
      <c r="I1222" s="180"/>
      <c r="J1222" s="180"/>
      <c r="K1222" s="180"/>
      <c r="L1222" s="180"/>
      <c r="M1222" s="180"/>
      <c r="N1222" s="180"/>
      <c r="O1222" s="180"/>
      <c r="P1222" s="180"/>
    </row>
    <row r="1223" spans="1:16" x14ac:dyDescent="0.45">
      <c r="A1223" s="180" t="s">
        <v>183</v>
      </c>
      <c r="B1223" s="73">
        <v>20</v>
      </c>
      <c r="C1223" s="73"/>
      <c r="D1223" s="180" t="s">
        <v>394</v>
      </c>
      <c r="E1223" s="39">
        <v>43597</v>
      </c>
      <c r="F1223" s="179">
        <v>0.41736111111111113</v>
      </c>
      <c r="G1223" s="180">
        <v>1</v>
      </c>
      <c r="H1223" s="180"/>
      <c r="I1223" s="180"/>
      <c r="J1223" s="180"/>
      <c r="K1223" s="180"/>
      <c r="L1223" s="180"/>
      <c r="M1223" s="180"/>
      <c r="N1223" s="180"/>
      <c r="O1223" s="180"/>
      <c r="P1223" s="180"/>
    </row>
    <row r="1224" spans="1:16" x14ac:dyDescent="0.45">
      <c r="A1224" s="180" t="s">
        <v>183</v>
      </c>
      <c r="B1224" s="73">
        <v>14</v>
      </c>
      <c r="C1224" s="73">
        <v>14</v>
      </c>
      <c r="D1224" s="180" t="s">
        <v>332</v>
      </c>
      <c r="E1224" s="39">
        <v>43597</v>
      </c>
      <c r="F1224" s="179">
        <v>0.35138888888888892</v>
      </c>
      <c r="G1224" s="180">
        <v>1</v>
      </c>
      <c r="H1224" s="180"/>
      <c r="I1224" s="180"/>
      <c r="J1224" s="180"/>
      <c r="K1224" s="180"/>
      <c r="L1224" s="180"/>
      <c r="M1224" s="180"/>
      <c r="N1224" s="180"/>
      <c r="O1224" s="180"/>
      <c r="P1224" s="180"/>
    </row>
    <row r="1225" spans="1:16" x14ac:dyDescent="0.45">
      <c r="A1225" s="180" t="s">
        <v>183</v>
      </c>
      <c r="B1225" s="73">
        <v>45</v>
      </c>
      <c r="C1225" s="73">
        <v>45</v>
      </c>
      <c r="D1225" s="180" t="s">
        <v>311</v>
      </c>
      <c r="E1225" s="39">
        <v>43597</v>
      </c>
      <c r="F1225" s="179">
        <v>0.52083333333333337</v>
      </c>
      <c r="G1225" s="180">
        <v>1</v>
      </c>
      <c r="H1225" s="180" t="s">
        <v>400</v>
      </c>
      <c r="I1225" s="180"/>
      <c r="J1225" s="180"/>
      <c r="K1225" s="180"/>
      <c r="L1225" s="180"/>
      <c r="M1225" s="180"/>
      <c r="N1225" s="180"/>
      <c r="O1225" s="180"/>
      <c r="P1225" s="180"/>
    </row>
    <row r="1226" spans="1:16" x14ac:dyDescent="0.45">
      <c r="A1226" s="180" t="s">
        <v>183</v>
      </c>
      <c r="B1226" s="73">
        <v>1</v>
      </c>
      <c r="C1226" s="73">
        <v>1</v>
      </c>
      <c r="D1226" s="180" t="s">
        <v>309</v>
      </c>
      <c r="E1226" s="39">
        <v>43597</v>
      </c>
      <c r="F1226" s="179">
        <v>0.36319444444444443</v>
      </c>
      <c r="G1226" s="180">
        <v>1</v>
      </c>
      <c r="H1226" s="180"/>
      <c r="I1226" s="180"/>
      <c r="J1226" s="180"/>
      <c r="K1226" s="180"/>
      <c r="L1226" s="180"/>
      <c r="M1226" s="180"/>
      <c r="N1226" s="180"/>
      <c r="O1226" s="180"/>
      <c r="P1226" s="180"/>
    </row>
    <row r="1227" spans="1:16" x14ac:dyDescent="0.45">
      <c r="A1227" s="180" t="s">
        <v>183</v>
      </c>
      <c r="B1227" s="73">
        <v>8</v>
      </c>
      <c r="C1227" s="73">
        <v>8</v>
      </c>
      <c r="D1227" s="180" t="s">
        <v>271</v>
      </c>
      <c r="E1227" s="39">
        <v>43597</v>
      </c>
      <c r="F1227" s="179">
        <v>0.66666666666666663</v>
      </c>
      <c r="G1227" s="180">
        <v>2</v>
      </c>
      <c r="H1227" s="180"/>
      <c r="I1227" s="180"/>
      <c r="J1227" s="180"/>
      <c r="K1227" s="180"/>
      <c r="L1227" s="180"/>
      <c r="M1227" s="180"/>
      <c r="N1227" s="180"/>
      <c r="O1227" s="180"/>
      <c r="P1227" s="180"/>
    </row>
    <row r="1228" spans="1:16" x14ac:dyDescent="0.45">
      <c r="A1228" s="180" t="s">
        <v>183</v>
      </c>
      <c r="B1228" s="73">
        <v>2</v>
      </c>
      <c r="C1228" s="73"/>
      <c r="D1228" s="180" t="s">
        <v>271</v>
      </c>
      <c r="E1228" s="39">
        <v>43597</v>
      </c>
      <c r="F1228" s="179">
        <v>0.27291666666666664</v>
      </c>
      <c r="G1228" s="180">
        <v>1</v>
      </c>
      <c r="H1228" s="180"/>
      <c r="I1228" s="180"/>
      <c r="J1228" s="180"/>
      <c r="K1228" s="180"/>
      <c r="L1228" s="180"/>
      <c r="M1228" s="180"/>
      <c r="N1228" s="180"/>
      <c r="O1228" s="180"/>
      <c r="P1228" s="180"/>
    </row>
    <row r="1229" spans="1:16" x14ac:dyDescent="0.45">
      <c r="A1229" s="180" t="s">
        <v>183</v>
      </c>
      <c r="B1229" s="73">
        <v>3</v>
      </c>
      <c r="C1229" s="73"/>
      <c r="D1229" s="180" t="s">
        <v>317</v>
      </c>
      <c r="E1229" s="39">
        <v>43598</v>
      </c>
      <c r="F1229" s="179">
        <v>0.42569444444444443</v>
      </c>
      <c r="G1229" s="180">
        <v>4</v>
      </c>
      <c r="H1229" s="180" t="s">
        <v>336</v>
      </c>
      <c r="I1229" s="180"/>
      <c r="J1229" s="180"/>
      <c r="K1229" s="180"/>
      <c r="L1229" s="180"/>
      <c r="M1229" s="180"/>
      <c r="N1229" s="180"/>
      <c r="O1229" s="180"/>
      <c r="P1229" s="180"/>
    </row>
    <row r="1230" spans="1:16" x14ac:dyDescent="0.45">
      <c r="A1230" s="180" t="s">
        <v>183</v>
      </c>
      <c r="B1230" s="73">
        <v>29</v>
      </c>
      <c r="C1230" s="73">
        <v>29</v>
      </c>
      <c r="D1230" s="180" t="s">
        <v>311</v>
      </c>
      <c r="E1230" s="39">
        <v>43598</v>
      </c>
      <c r="F1230" s="179">
        <v>0.42708333333333331</v>
      </c>
      <c r="G1230" s="180">
        <v>8</v>
      </c>
      <c r="H1230" s="180" t="s">
        <v>337</v>
      </c>
      <c r="I1230" s="180"/>
      <c r="J1230" s="180"/>
      <c r="K1230" s="180"/>
      <c r="L1230" s="180"/>
      <c r="M1230" s="180"/>
      <c r="N1230" s="180"/>
      <c r="O1230" s="180"/>
      <c r="P1230" s="180"/>
    </row>
    <row r="1231" spans="1:16" x14ac:dyDescent="0.45">
      <c r="A1231" s="180" t="s">
        <v>183</v>
      </c>
      <c r="B1231" s="73">
        <v>4</v>
      </c>
      <c r="C1231" s="73"/>
      <c r="D1231" s="180" t="s">
        <v>309</v>
      </c>
      <c r="E1231" s="39">
        <v>43598</v>
      </c>
      <c r="F1231" s="179">
        <v>0.4145833333333333</v>
      </c>
      <c r="G1231" s="180">
        <v>2</v>
      </c>
      <c r="H1231" s="180"/>
      <c r="I1231" s="180"/>
      <c r="J1231" s="180"/>
      <c r="K1231" s="180"/>
      <c r="L1231" s="180"/>
      <c r="M1231" s="180"/>
      <c r="N1231" s="180"/>
      <c r="O1231" s="180"/>
      <c r="P1231" s="180"/>
    </row>
    <row r="1232" spans="1:16" x14ac:dyDescent="0.45">
      <c r="A1232" s="180" t="s">
        <v>183</v>
      </c>
      <c r="B1232" s="73">
        <v>28</v>
      </c>
      <c r="C1232" s="73">
        <v>28</v>
      </c>
      <c r="D1232" s="180" t="s">
        <v>309</v>
      </c>
      <c r="E1232" s="39">
        <v>43598</v>
      </c>
      <c r="F1232" s="179">
        <v>0.42708333333333331</v>
      </c>
      <c r="G1232" s="180">
        <v>2</v>
      </c>
      <c r="H1232" s="180" t="s">
        <v>403</v>
      </c>
      <c r="I1232" s="180"/>
      <c r="J1232" s="180"/>
      <c r="K1232" s="180"/>
      <c r="L1232" s="180"/>
      <c r="M1232" s="180"/>
      <c r="N1232" s="180"/>
      <c r="O1232" s="180"/>
      <c r="P1232" s="180"/>
    </row>
    <row r="1233" spans="1:16" x14ac:dyDescent="0.45">
      <c r="A1233" s="180" t="s">
        <v>183</v>
      </c>
      <c r="B1233" s="73">
        <v>4</v>
      </c>
      <c r="C1233" s="73"/>
      <c r="D1233" s="180" t="s">
        <v>271</v>
      </c>
      <c r="E1233" s="39">
        <v>43598</v>
      </c>
      <c r="F1233" s="179">
        <v>0.32083333333333336</v>
      </c>
      <c r="G1233" s="180">
        <v>2</v>
      </c>
      <c r="H1233" s="180"/>
      <c r="I1233" s="180"/>
      <c r="J1233" s="180"/>
      <c r="K1233" s="180"/>
      <c r="L1233" s="180"/>
      <c r="M1233" s="180"/>
      <c r="N1233" s="180"/>
      <c r="O1233" s="180"/>
      <c r="P1233" s="180"/>
    </row>
    <row r="1234" spans="1:16" x14ac:dyDescent="0.45">
      <c r="A1234" s="180" t="s">
        <v>183</v>
      </c>
      <c r="B1234" s="73">
        <v>11</v>
      </c>
      <c r="C1234" s="73">
        <v>11</v>
      </c>
      <c r="D1234" s="180" t="s">
        <v>271</v>
      </c>
      <c r="E1234" s="39">
        <v>43598</v>
      </c>
      <c r="F1234" s="179">
        <v>0.42708333333333331</v>
      </c>
      <c r="G1234" s="180">
        <v>3</v>
      </c>
      <c r="H1234" s="180" t="s">
        <v>404</v>
      </c>
      <c r="I1234" s="180"/>
      <c r="J1234" s="180"/>
      <c r="K1234" s="180"/>
      <c r="L1234" s="180"/>
      <c r="M1234" s="180"/>
      <c r="N1234" s="180"/>
      <c r="O1234" s="180"/>
      <c r="P1234" s="180"/>
    </row>
    <row r="1235" spans="1:16" x14ac:dyDescent="0.45">
      <c r="A1235" s="180" t="s">
        <v>183</v>
      </c>
      <c r="B1235" s="73">
        <v>20</v>
      </c>
      <c r="C1235" s="73">
        <v>20</v>
      </c>
      <c r="D1235" s="180" t="s">
        <v>128</v>
      </c>
      <c r="E1235" s="39">
        <v>43601</v>
      </c>
      <c r="F1235" s="179">
        <v>0.39583333333333331</v>
      </c>
      <c r="G1235" s="180">
        <v>1</v>
      </c>
      <c r="H1235" s="180"/>
      <c r="I1235" s="180"/>
      <c r="J1235" s="180"/>
      <c r="K1235" s="180"/>
      <c r="L1235" s="180"/>
      <c r="M1235" s="180"/>
      <c r="N1235" s="180"/>
      <c r="O1235" s="180"/>
      <c r="P1235" s="180"/>
    </row>
    <row r="1236" spans="1:16" x14ac:dyDescent="0.45">
      <c r="A1236" s="180" t="s">
        <v>183</v>
      </c>
      <c r="B1236" s="73">
        <v>12</v>
      </c>
      <c r="C1236" s="73">
        <v>12</v>
      </c>
      <c r="D1236" s="180" t="s">
        <v>271</v>
      </c>
      <c r="E1236" s="39">
        <v>43601</v>
      </c>
      <c r="F1236" s="179">
        <v>0.4993055555555555</v>
      </c>
      <c r="G1236" s="180">
        <v>1</v>
      </c>
      <c r="H1236" s="180"/>
      <c r="I1236" s="180"/>
      <c r="J1236" s="180"/>
      <c r="K1236" s="180"/>
      <c r="L1236" s="180"/>
      <c r="M1236" s="180"/>
      <c r="N1236" s="180"/>
      <c r="O1236" s="180"/>
      <c r="P1236" s="180"/>
    </row>
    <row r="1237" spans="1:16" x14ac:dyDescent="0.45">
      <c r="A1237" s="180" t="s">
        <v>183</v>
      </c>
      <c r="B1237" s="73">
        <v>10</v>
      </c>
      <c r="C1237" s="73"/>
      <c r="D1237" s="180" t="s">
        <v>271</v>
      </c>
      <c r="E1237" s="39">
        <v>43601</v>
      </c>
      <c r="F1237" s="179">
        <v>0.54027777777777775</v>
      </c>
      <c r="G1237" s="180">
        <v>1</v>
      </c>
      <c r="H1237" s="180"/>
      <c r="I1237" s="180"/>
      <c r="J1237" s="180"/>
      <c r="K1237" s="180"/>
      <c r="L1237" s="180"/>
      <c r="M1237" s="180"/>
      <c r="N1237" s="180"/>
      <c r="O1237" s="180"/>
      <c r="P1237" s="180"/>
    </row>
    <row r="1238" spans="1:16" x14ac:dyDescent="0.45">
      <c r="A1238" s="180" t="s">
        <v>183</v>
      </c>
      <c r="B1238" s="73">
        <v>10</v>
      </c>
      <c r="C1238" s="73"/>
      <c r="D1238" s="180" t="s">
        <v>271</v>
      </c>
      <c r="E1238" s="39">
        <v>43601</v>
      </c>
      <c r="F1238" s="179">
        <v>0.45833333333333331</v>
      </c>
      <c r="G1238" s="180">
        <v>1</v>
      </c>
      <c r="H1238" s="180"/>
      <c r="I1238" s="180"/>
      <c r="J1238" s="180"/>
      <c r="K1238" s="180"/>
      <c r="L1238" s="180"/>
      <c r="M1238" s="180"/>
      <c r="N1238" s="180"/>
      <c r="O1238" s="180"/>
      <c r="P1238" s="180"/>
    </row>
    <row r="1239" spans="1:16" x14ac:dyDescent="0.45">
      <c r="A1239" s="180" t="s">
        <v>183</v>
      </c>
      <c r="B1239" s="73">
        <v>10</v>
      </c>
      <c r="C1239" s="73"/>
      <c r="D1239" s="180" t="s">
        <v>317</v>
      </c>
      <c r="E1239" s="39">
        <v>43603</v>
      </c>
      <c r="F1239" s="179">
        <v>0.70694444444444438</v>
      </c>
      <c r="G1239" s="180">
        <v>7</v>
      </c>
      <c r="H1239" s="180" t="s">
        <v>407</v>
      </c>
      <c r="I1239" s="180"/>
      <c r="J1239" s="180"/>
      <c r="K1239" s="180"/>
      <c r="L1239" s="180"/>
      <c r="M1239" s="180"/>
      <c r="N1239" s="180"/>
      <c r="O1239" s="180"/>
      <c r="P1239" s="180"/>
    </row>
    <row r="1240" spans="1:16" x14ac:dyDescent="0.45">
      <c r="A1240" s="180" t="s">
        <v>183</v>
      </c>
      <c r="B1240" s="73">
        <v>10</v>
      </c>
      <c r="C1240" s="73"/>
      <c r="D1240" s="180" t="s">
        <v>317</v>
      </c>
      <c r="E1240" s="39">
        <v>43603</v>
      </c>
      <c r="F1240" s="179">
        <v>0.70694444444444438</v>
      </c>
      <c r="G1240" s="180">
        <v>7</v>
      </c>
      <c r="H1240" s="180" t="s">
        <v>407</v>
      </c>
      <c r="I1240" s="180"/>
      <c r="J1240" s="180"/>
      <c r="K1240" s="180"/>
      <c r="L1240" s="180"/>
      <c r="M1240" s="180"/>
      <c r="N1240" s="180"/>
      <c r="O1240" s="180"/>
      <c r="P1240" s="180"/>
    </row>
    <row r="1241" spans="1:16" x14ac:dyDescent="0.45">
      <c r="A1241" s="180" t="s">
        <v>183</v>
      </c>
      <c r="B1241" s="73">
        <v>10</v>
      </c>
      <c r="C1241" s="73"/>
      <c r="D1241" s="180" t="s">
        <v>317</v>
      </c>
      <c r="E1241" s="39">
        <v>43603</v>
      </c>
      <c r="F1241" s="179">
        <v>0.70694444444444438</v>
      </c>
      <c r="G1241" s="180">
        <v>7</v>
      </c>
      <c r="H1241" s="180" t="s">
        <v>407</v>
      </c>
      <c r="I1241" s="180"/>
      <c r="J1241" s="180"/>
      <c r="K1241" s="180"/>
      <c r="L1241" s="180"/>
      <c r="M1241" s="180"/>
      <c r="N1241" s="180"/>
      <c r="O1241" s="180"/>
      <c r="P1241" s="180"/>
    </row>
    <row r="1242" spans="1:16" x14ac:dyDescent="0.45">
      <c r="A1242" s="180" t="s">
        <v>183</v>
      </c>
      <c r="B1242" s="73">
        <v>10</v>
      </c>
      <c r="C1242" s="73">
        <v>10</v>
      </c>
      <c r="D1242" s="180" t="s">
        <v>311</v>
      </c>
      <c r="E1242" s="39">
        <v>43603</v>
      </c>
      <c r="F1242" s="179">
        <v>0.70833333333333337</v>
      </c>
      <c r="G1242" s="180">
        <v>11</v>
      </c>
      <c r="H1242" s="180" t="s">
        <v>408</v>
      </c>
      <c r="I1242" s="180"/>
      <c r="J1242" s="180"/>
      <c r="K1242" s="180"/>
      <c r="L1242" s="180"/>
      <c r="M1242" s="180"/>
      <c r="N1242" s="180"/>
      <c r="O1242" s="180"/>
      <c r="P1242" s="180"/>
    </row>
    <row r="1243" spans="1:16" x14ac:dyDescent="0.45">
      <c r="A1243" s="180" t="s">
        <v>183</v>
      </c>
      <c r="B1243" s="73">
        <v>12</v>
      </c>
      <c r="C1243" s="73">
        <v>12</v>
      </c>
      <c r="D1243" s="180" t="s">
        <v>271</v>
      </c>
      <c r="E1243" s="39">
        <v>43603</v>
      </c>
      <c r="F1243" s="179">
        <v>0.70833333333333337</v>
      </c>
      <c r="G1243" s="180">
        <v>3</v>
      </c>
      <c r="H1243" s="180" t="s">
        <v>272</v>
      </c>
      <c r="I1243" s="180"/>
      <c r="J1243" s="180"/>
      <c r="K1243" s="180"/>
      <c r="L1243" s="180"/>
      <c r="M1243" s="180"/>
      <c r="N1243" s="180"/>
      <c r="O1243" s="180"/>
      <c r="P1243" s="180"/>
    </row>
    <row r="1244" spans="1:16" x14ac:dyDescent="0.45">
      <c r="A1244" s="180" t="s">
        <v>183</v>
      </c>
      <c r="B1244" s="73">
        <v>2</v>
      </c>
      <c r="C1244" s="73">
        <v>2</v>
      </c>
      <c r="D1244" s="180" t="s">
        <v>271</v>
      </c>
      <c r="E1244" s="39">
        <v>43607</v>
      </c>
      <c r="F1244" s="179">
        <v>0.5083333333333333</v>
      </c>
      <c r="G1244" s="180">
        <v>1</v>
      </c>
      <c r="H1244" s="180"/>
      <c r="I1244" s="180"/>
      <c r="J1244" s="180"/>
      <c r="K1244" s="180"/>
      <c r="L1244" s="180"/>
      <c r="M1244" s="180"/>
      <c r="N1244" s="180"/>
      <c r="O1244" s="180"/>
      <c r="P1244" s="180"/>
    </row>
    <row r="1245" spans="1:16" x14ac:dyDescent="0.45">
      <c r="A1245" s="180" t="s">
        <v>183</v>
      </c>
      <c r="B1245" s="73">
        <v>3</v>
      </c>
      <c r="C1245" s="73">
        <v>3</v>
      </c>
      <c r="D1245" s="180" t="s">
        <v>271</v>
      </c>
      <c r="E1245" s="39">
        <v>43608</v>
      </c>
      <c r="F1245" s="179">
        <v>0.8125</v>
      </c>
      <c r="G1245" s="180">
        <v>4</v>
      </c>
      <c r="H1245" s="180" t="s">
        <v>459</v>
      </c>
      <c r="I1245" s="180"/>
      <c r="J1245" s="180"/>
      <c r="K1245" s="180"/>
      <c r="L1245" s="180"/>
      <c r="M1245" s="180"/>
      <c r="N1245" s="180"/>
      <c r="O1245" s="180"/>
      <c r="P1245" s="180"/>
    </row>
    <row r="1246" spans="1:16" x14ac:dyDescent="0.45">
      <c r="A1246" s="1" t="s">
        <v>273</v>
      </c>
      <c r="B1246" s="73"/>
      <c r="C1246" s="73">
        <f>SUM(C1190:C1245)</f>
        <v>435</v>
      </c>
      <c r="D1246" s="180"/>
      <c r="E1246" s="39"/>
      <c r="F1246" s="179"/>
      <c r="G1246" s="180"/>
      <c r="H1246" s="180"/>
      <c r="I1246" s="180"/>
      <c r="J1246" s="180"/>
      <c r="K1246" s="180"/>
      <c r="L1246" s="180"/>
      <c r="M1246" s="180"/>
      <c r="N1246" s="180"/>
      <c r="O1246" s="180"/>
      <c r="P1246" s="180"/>
    </row>
    <row r="1247" spans="1:16" x14ac:dyDescent="0.45">
      <c r="A1247" s="180"/>
      <c r="B1247" s="73"/>
      <c r="C1247" s="73"/>
      <c r="D1247" s="180"/>
      <c r="E1247" s="39"/>
      <c r="F1247" s="179"/>
      <c r="G1247" s="180"/>
      <c r="H1247" s="180"/>
      <c r="I1247" s="180"/>
      <c r="J1247" s="180"/>
      <c r="K1247" s="180"/>
      <c r="L1247" s="180"/>
      <c r="M1247" s="180"/>
      <c r="N1247" s="180"/>
      <c r="O1247" s="180"/>
      <c r="P1247" s="180"/>
    </row>
    <row r="1248" spans="1:16" x14ac:dyDescent="0.45">
      <c r="A1248" s="180" t="s">
        <v>6</v>
      </c>
      <c r="B1248" s="73">
        <v>2</v>
      </c>
      <c r="C1248" s="73">
        <v>2</v>
      </c>
      <c r="D1248" s="180" t="s">
        <v>532</v>
      </c>
      <c r="E1248" s="39">
        <v>43598</v>
      </c>
      <c r="F1248" s="179">
        <v>0.83819444444444446</v>
      </c>
      <c r="G1248" s="180">
        <v>1</v>
      </c>
      <c r="H1248" s="180"/>
      <c r="I1248" s="180"/>
      <c r="J1248" s="180"/>
      <c r="K1248" s="180"/>
      <c r="L1248" s="180"/>
      <c r="M1248" s="180"/>
      <c r="N1248" s="180"/>
      <c r="O1248" s="180"/>
      <c r="P1248" s="180"/>
    </row>
    <row r="1249" spans="1:16" x14ac:dyDescent="0.45">
      <c r="A1249" s="180" t="s">
        <v>6</v>
      </c>
      <c r="B1249" s="73">
        <v>1</v>
      </c>
      <c r="C1249" s="73">
        <v>1</v>
      </c>
      <c r="D1249" s="180" t="s">
        <v>422</v>
      </c>
      <c r="E1249" s="39">
        <v>43603</v>
      </c>
      <c r="F1249" s="179">
        <v>0.68402777777777779</v>
      </c>
      <c r="G1249" s="180">
        <v>2</v>
      </c>
      <c r="H1249" s="180" t="s">
        <v>533</v>
      </c>
      <c r="I1249" s="180"/>
      <c r="J1249" s="180"/>
      <c r="K1249" s="180"/>
      <c r="L1249" s="180"/>
      <c r="M1249" s="180"/>
      <c r="N1249" s="180"/>
      <c r="O1249" s="180"/>
      <c r="P1249" s="180"/>
    </row>
    <row r="1250" spans="1:16" x14ac:dyDescent="0.45">
      <c r="A1250" s="180" t="s">
        <v>6</v>
      </c>
      <c r="B1250" s="73">
        <v>1</v>
      </c>
      <c r="C1250" s="73"/>
      <c r="D1250" s="180" t="s">
        <v>422</v>
      </c>
      <c r="E1250" s="39">
        <v>43603</v>
      </c>
      <c r="F1250" s="179">
        <v>0.68402777777777779</v>
      </c>
      <c r="G1250" s="180">
        <v>2</v>
      </c>
      <c r="H1250" s="180" t="s">
        <v>533</v>
      </c>
      <c r="I1250" s="180"/>
      <c r="J1250" s="180"/>
      <c r="K1250" s="180"/>
      <c r="L1250" s="180"/>
      <c r="M1250" s="180"/>
      <c r="N1250" s="180"/>
      <c r="O1250" s="180"/>
      <c r="P1250" s="180"/>
    </row>
    <row r="1251" spans="1:16" x14ac:dyDescent="0.45">
      <c r="A1251" s="180" t="s">
        <v>6</v>
      </c>
      <c r="B1251" s="73">
        <v>1</v>
      </c>
      <c r="C1251" s="73"/>
      <c r="D1251" s="180" t="s">
        <v>422</v>
      </c>
      <c r="E1251" s="39">
        <v>43603</v>
      </c>
      <c r="F1251" s="179">
        <v>0.68402777777777779</v>
      </c>
      <c r="G1251" s="180">
        <v>2</v>
      </c>
      <c r="H1251" s="180" t="s">
        <v>533</v>
      </c>
      <c r="I1251" s="180"/>
      <c r="J1251" s="180"/>
      <c r="K1251" s="180"/>
      <c r="L1251" s="180"/>
      <c r="M1251" s="180"/>
      <c r="N1251" s="180"/>
      <c r="O1251" s="180"/>
      <c r="P1251" s="180"/>
    </row>
    <row r="1252" spans="1:16" x14ac:dyDescent="0.45">
      <c r="A1252" s="180" t="s">
        <v>85</v>
      </c>
      <c r="B1252" s="73">
        <v>1</v>
      </c>
      <c r="C1252" s="73">
        <v>1</v>
      </c>
      <c r="D1252" s="180" t="s">
        <v>371</v>
      </c>
      <c r="E1252" s="39">
        <v>43605</v>
      </c>
      <c r="F1252" s="179">
        <v>0.84375</v>
      </c>
      <c r="G1252" s="180">
        <v>2</v>
      </c>
      <c r="H1252" s="180"/>
      <c r="I1252" s="180"/>
      <c r="J1252" s="180"/>
      <c r="K1252" s="180"/>
      <c r="L1252" s="180"/>
      <c r="M1252" s="180"/>
      <c r="N1252" s="180"/>
      <c r="O1252" s="180"/>
      <c r="P1252" s="180"/>
    </row>
    <row r="1253" spans="1:16" x14ac:dyDescent="0.45">
      <c r="A1253" s="180" t="s">
        <v>6</v>
      </c>
      <c r="B1253" s="73">
        <v>1</v>
      </c>
      <c r="C1253" s="73">
        <v>1</v>
      </c>
      <c r="D1253" s="180" t="s">
        <v>344</v>
      </c>
      <c r="E1253" s="39">
        <v>43606</v>
      </c>
      <c r="F1253" s="179">
        <v>0.2951388888888889</v>
      </c>
      <c r="G1253" s="180">
        <v>1</v>
      </c>
      <c r="H1253" s="180"/>
      <c r="I1253" s="180"/>
      <c r="J1253" s="180"/>
      <c r="K1253" s="180"/>
      <c r="L1253" s="180"/>
      <c r="M1253" s="180"/>
      <c r="N1253" s="180"/>
      <c r="O1253" s="180"/>
      <c r="P1253" s="180"/>
    </row>
    <row r="1254" spans="1:16" x14ac:dyDescent="0.45">
      <c r="A1254" s="1" t="s">
        <v>273</v>
      </c>
      <c r="B1254" s="73"/>
      <c r="C1254" s="73">
        <f>SUM(C1248:C1253)</f>
        <v>5</v>
      </c>
      <c r="D1254" s="180"/>
      <c r="E1254" s="39"/>
      <c r="F1254" s="179"/>
      <c r="G1254" s="180"/>
      <c r="H1254" s="180"/>
      <c r="I1254" s="180"/>
      <c r="J1254" s="180"/>
      <c r="K1254" s="180"/>
      <c r="L1254" s="180"/>
      <c r="M1254" s="180"/>
      <c r="N1254" s="180"/>
      <c r="O1254" s="180"/>
      <c r="P1254" s="180"/>
    </row>
    <row r="1255" spans="1:16" x14ac:dyDescent="0.45">
      <c r="A1255" s="180"/>
      <c r="B1255" s="73"/>
      <c r="C1255" s="73"/>
      <c r="D1255" s="180"/>
      <c r="E1255" s="39"/>
      <c r="F1255" s="179"/>
      <c r="G1255" s="180"/>
      <c r="H1255" s="180"/>
      <c r="I1255" s="180"/>
      <c r="J1255" s="180"/>
      <c r="K1255" s="180"/>
      <c r="L1255" s="180"/>
      <c r="M1255" s="180"/>
      <c r="N1255" s="180"/>
      <c r="O1255" s="180"/>
      <c r="P1255" s="180"/>
    </row>
    <row r="1256" spans="1:16" x14ac:dyDescent="0.45">
      <c r="A1256" s="180" t="s">
        <v>79</v>
      </c>
      <c r="B1256" s="73">
        <v>50</v>
      </c>
      <c r="C1256" s="73">
        <v>50</v>
      </c>
      <c r="D1256" s="180" t="s">
        <v>275</v>
      </c>
      <c r="E1256" s="39">
        <v>43566</v>
      </c>
      <c r="F1256" s="179">
        <v>0.52083333333333337</v>
      </c>
      <c r="G1256" s="180">
        <v>30</v>
      </c>
      <c r="H1256" s="180" t="s">
        <v>276</v>
      </c>
      <c r="I1256" s="180"/>
      <c r="J1256" s="180"/>
      <c r="K1256" s="180"/>
      <c r="L1256" s="180"/>
      <c r="M1256" s="180"/>
      <c r="N1256" s="180"/>
      <c r="O1256" s="180"/>
      <c r="P1256" s="180"/>
    </row>
    <row r="1257" spans="1:16" x14ac:dyDescent="0.45">
      <c r="A1257" s="180" t="s">
        <v>79</v>
      </c>
      <c r="B1257" s="73">
        <v>20</v>
      </c>
      <c r="C1257" s="73"/>
      <c r="D1257" s="180" t="s">
        <v>306</v>
      </c>
      <c r="E1257" s="39">
        <v>43566</v>
      </c>
      <c r="F1257" s="179">
        <v>0.33333333333333331</v>
      </c>
      <c r="G1257" s="180">
        <v>20</v>
      </c>
      <c r="H1257" s="180" t="s">
        <v>307</v>
      </c>
      <c r="I1257" s="180" t="s">
        <v>534</v>
      </c>
      <c r="J1257" s="180"/>
      <c r="K1257" s="180"/>
      <c r="L1257" s="180"/>
      <c r="M1257" s="180"/>
      <c r="N1257" s="180"/>
      <c r="O1257" s="180"/>
      <c r="P1257" s="180"/>
    </row>
    <row r="1258" spans="1:16" x14ac:dyDescent="0.45">
      <c r="A1258" s="180" t="s">
        <v>79</v>
      </c>
      <c r="B1258" s="73">
        <v>17</v>
      </c>
      <c r="C1258" s="73">
        <v>17</v>
      </c>
      <c r="D1258" s="180" t="s">
        <v>278</v>
      </c>
      <c r="E1258" s="39">
        <v>43583</v>
      </c>
      <c r="F1258" s="179">
        <v>0.4375</v>
      </c>
      <c r="G1258" s="180">
        <v>1</v>
      </c>
      <c r="H1258" s="180" t="s">
        <v>279</v>
      </c>
      <c r="I1258" s="180"/>
      <c r="J1258" s="180"/>
      <c r="K1258" s="180"/>
      <c r="L1258" s="180"/>
      <c r="M1258" s="180"/>
      <c r="N1258" s="180"/>
      <c r="O1258" s="180"/>
      <c r="P1258" s="180"/>
    </row>
    <row r="1259" spans="1:16" x14ac:dyDescent="0.45">
      <c r="A1259" s="180" t="s">
        <v>79</v>
      </c>
      <c r="B1259" s="73">
        <v>19</v>
      </c>
      <c r="C1259" s="73">
        <v>19</v>
      </c>
      <c r="D1259" s="180" t="s">
        <v>281</v>
      </c>
      <c r="E1259" s="39">
        <v>43583</v>
      </c>
      <c r="F1259" s="179">
        <v>0.4375</v>
      </c>
      <c r="G1259" s="180">
        <v>1</v>
      </c>
      <c r="H1259" s="180" t="s">
        <v>279</v>
      </c>
      <c r="I1259" s="180"/>
      <c r="J1259" s="180"/>
      <c r="K1259" s="180"/>
      <c r="L1259" s="180"/>
      <c r="M1259" s="180"/>
      <c r="N1259" s="180"/>
      <c r="O1259" s="180"/>
      <c r="P1259" s="180"/>
    </row>
    <row r="1260" spans="1:16" x14ac:dyDescent="0.45">
      <c r="A1260" s="180" t="s">
        <v>79</v>
      </c>
      <c r="B1260" s="73">
        <v>5</v>
      </c>
      <c r="C1260" s="73">
        <v>5</v>
      </c>
      <c r="D1260" s="180" t="s">
        <v>314</v>
      </c>
      <c r="E1260" s="39">
        <v>43585</v>
      </c>
      <c r="F1260" s="179">
        <v>0.49652777777777773</v>
      </c>
      <c r="G1260" s="180">
        <v>1</v>
      </c>
      <c r="H1260" s="180"/>
      <c r="I1260" s="180"/>
      <c r="J1260" s="180"/>
      <c r="K1260" s="180"/>
      <c r="L1260" s="180"/>
      <c r="M1260" s="180"/>
      <c r="N1260" s="180"/>
      <c r="O1260" s="180"/>
      <c r="P1260" s="180"/>
    </row>
    <row r="1261" spans="1:16" x14ac:dyDescent="0.45">
      <c r="A1261" s="180" t="s">
        <v>79</v>
      </c>
      <c r="B1261" s="73">
        <v>1</v>
      </c>
      <c r="C1261" s="73">
        <v>1</v>
      </c>
      <c r="D1261" s="180" t="s">
        <v>274</v>
      </c>
      <c r="E1261" s="39">
        <v>43586</v>
      </c>
      <c r="F1261" s="179">
        <v>0.39097222222222222</v>
      </c>
      <c r="G1261" s="180">
        <v>1</v>
      </c>
      <c r="H1261" s="180"/>
      <c r="I1261" s="180" t="s">
        <v>535</v>
      </c>
      <c r="J1261" s="180"/>
      <c r="K1261" s="180"/>
      <c r="L1261" s="180"/>
      <c r="M1261" s="180"/>
      <c r="N1261" s="180"/>
      <c r="O1261" s="180"/>
      <c r="P1261" s="180"/>
    </row>
    <row r="1262" spans="1:16" x14ac:dyDescent="0.45">
      <c r="A1262" s="180" t="s">
        <v>79</v>
      </c>
      <c r="B1262" s="73">
        <v>7</v>
      </c>
      <c r="C1262" s="73">
        <v>7</v>
      </c>
      <c r="D1262" s="180" t="s">
        <v>128</v>
      </c>
      <c r="E1262" s="39">
        <v>43587</v>
      </c>
      <c r="F1262" s="179">
        <v>0.45555555555555555</v>
      </c>
      <c r="G1262" s="180">
        <v>1</v>
      </c>
      <c r="H1262" s="180"/>
      <c r="I1262" s="180"/>
      <c r="J1262" s="180"/>
      <c r="K1262" s="180"/>
      <c r="L1262" s="180"/>
      <c r="M1262" s="180"/>
      <c r="N1262" s="180"/>
      <c r="O1262" s="180"/>
      <c r="P1262" s="180"/>
    </row>
    <row r="1263" spans="1:16" x14ac:dyDescent="0.45">
      <c r="A1263" s="180" t="s">
        <v>79</v>
      </c>
      <c r="B1263" s="73">
        <v>22</v>
      </c>
      <c r="C1263" s="73"/>
      <c r="D1263" s="180" t="s">
        <v>536</v>
      </c>
      <c r="E1263" s="39">
        <v>43588</v>
      </c>
      <c r="F1263" s="179">
        <v>0.68194444444444446</v>
      </c>
      <c r="G1263" s="180">
        <v>5</v>
      </c>
      <c r="H1263" s="180" t="s">
        <v>537</v>
      </c>
      <c r="I1263" s="180"/>
      <c r="J1263" s="180"/>
      <c r="K1263" s="180"/>
      <c r="L1263" s="180"/>
      <c r="M1263" s="180"/>
      <c r="N1263" s="180"/>
      <c r="O1263" s="180"/>
      <c r="P1263" s="180"/>
    </row>
    <row r="1264" spans="1:16" x14ac:dyDescent="0.45">
      <c r="A1264" s="180" t="s">
        <v>79</v>
      </c>
      <c r="B1264" s="73">
        <v>25</v>
      </c>
      <c r="C1264" s="73">
        <v>25</v>
      </c>
      <c r="D1264" s="180" t="s">
        <v>344</v>
      </c>
      <c r="E1264" s="39">
        <v>43588</v>
      </c>
      <c r="F1264" s="179">
        <v>0.73472222222222217</v>
      </c>
      <c r="G1264" s="180">
        <v>1</v>
      </c>
      <c r="H1264" s="180"/>
      <c r="I1264" s="180"/>
      <c r="J1264" s="180"/>
      <c r="K1264" s="180"/>
      <c r="L1264" s="180"/>
      <c r="M1264" s="180"/>
      <c r="N1264" s="180"/>
      <c r="O1264" s="180"/>
      <c r="P1264" s="180"/>
    </row>
    <row r="1265" spans="1:16" x14ac:dyDescent="0.45">
      <c r="A1265" s="180" t="s">
        <v>79</v>
      </c>
      <c r="B1265" s="73">
        <v>12</v>
      </c>
      <c r="C1265" s="73"/>
      <c r="D1265" s="180" t="s">
        <v>128</v>
      </c>
      <c r="E1265" s="39">
        <v>43588</v>
      </c>
      <c r="F1265" s="179">
        <v>0.50069444444444444</v>
      </c>
      <c r="G1265" s="180">
        <v>3</v>
      </c>
      <c r="H1265" s="180"/>
      <c r="I1265" s="180"/>
      <c r="J1265" s="180"/>
      <c r="K1265" s="180"/>
      <c r="L1265" s="180"/>
      <c r="M1265" s="180"/>
      <c r="N1265" s="180"/>
      <c r="O1265" s="180"/>
      <c r="P1265" s="180"/>
    </row>
    <row r="1266" spans="1:16" x14ac:dyDescent="0.45">
      <c r="A1266" s="180" t="s">
        <v>79</v>
      </c>
      <c r="B1266" s="73">
        <v>12</v>
      </c>
      <c r="C1266" s="73"/>
      <c r="D1266" s="180" t="s">
        <v>128</v>
      </c>
      <c r="E1266" s="39">
        <v>43588</v>
      </c>
      <c r="F1266" s="179">
        <v>0.50069444444444444</v>
      </c>
      <c r="G1266" s="180">
        <v>3</v>
      </c>
      <c r="H1266" s="180"/>
      <c r="I1266" s="180"/>
      <c r="J1266" s="180"/>
      <c r="K1266" s="180"/>
      <c r="L1266" s="180"/>
      <c r="M1266" s="180"/>
      <c r="N1266" s="180"/>
      <c r="O1266" s="180"/>
      <c r="P1266" s="180"/>
    </row>
    <row r="1267" spans="1:16" x14ac:dyDescent="0.45">
      <c r="A1267" s="180" t="s">
        <v>79</v>
      </c>
      <c r="B1267" s="73">
        <v>12</v>
      </c>
      <c r="C1267" s="73"/>
      <c r="D1267" s="180" t="s">
        <v>128</v>
      </c>
      <c r="E1267" s="39">
        <v>43588</v>
      </c>
      <c r="F1267" s="179">
        <v>0.50069444444444444</v>
      </c>
      <c r="G1267" s="180">
        <v>3</v>
      </c>
      <c r="H1267" s="180"/>
      <c r="I1267" s="180"/>
      <c r="J1267" s="180"/>
      <c r="K1267" s="180"/>
      <c r="L1267" s="180"/>
      <c r="M1267" s="180"/>
      <c r="N1267" s="180"/>
      <c r="O1267" s="180"/>
      <c r="P1267" s="180"/>
    </row>
    <row r="1268" spans="1:16" x14ac:dyDescent="0.45">
      <c r="A1268" s="180" t="s">
        <v>79</v>
      </c>
      <c r="B1268" s="73">
        <v>20</v>
      </c>
      <c r="C1268" s="73"/>
      <c r="D1268" s="180" t="s">
        <v>128</v>
      </c>
      <c r="E1268" s="39">
        <v>43588</v>
      </c>
      <c r="F1268" s="179">
        <v>0.68125000000000002</v>
      </c>
      <c r="G1268" s="180">
        <v>4</v>
      </c>
      <c r="H1268" s="180" t="s">
        <v>310</v>
      </c>
      <c r="I1268" s="180"/>
      <c r="J1268" s="180"/>
      <c r="K1268" s="180"/>
      <c r="L1268" s="180"/>
      <c r="M1268" s="180"/>
      <c r="N1268" s="180"/>
      <c r="O1268" s="180"/>
      <c r="P1268" s="180"/>
    </row>
    <row r="1269" spans="1:16" x14ac:dyDescent="0.45">
      <c r="A1269" s="180" t="s">
        <v>79</v>
      </c>
      <c r="B1269" s="73">
        <v>20</v>
      </c>
      <c r="C1269" s="73">
        <v>20</v>
      </c>
      <c r="D1269" s="180" t="s">
        <v>311</v>
      </c>
      <c r="E1269" s="39">
        <v>43588</v>
      </c>
      <c r="F1269" s="179">
        <v>0.67708333333333337</v>
      </c>
      <c r="G1269" s="180">
        <v>9</v>
      </c>
      <c r="H1269" s="180" t="s">
        <v>312</v>
      </c>
      <c r="I1269" s="180"/>
      <c r="J1269" s="180"/>
      <c r="K1269" s="180"/>
      <c r="L1269" s="180"/>
      <c r="M1269" s="180"/>
      <c r="N1269" s="180"/>
      <c r="O1269" s="180"/>
      <c r="P1269" s="180"/>
    </row>
    <row r="1270" spans="1:16" x14ac:dyDescent="0.45">
      <c r="A1270" s="180" t="s">
        <v>79</v>
      </c>
      <c r="B1270" s="73">
        <v>21</v>
      </c>
      <c r="C1270" s="73">
        <v>21</v>
      </c>
      <c r="D1270" s="180" t="s">
        <v>318</v>
      </c>
      <c r="E1270" s="39">
        <v>43588</v>
      </c>
      <c r="F1270" s="179">
        <v>0.70833333333333337</v>
      </c>
      <c r="G1270" s="180">
        <v>2</v>
      </c>
      <c r="H1270" s="180" t="s">
        <v>316</v>
      </c>
      <c r="I1270" s="180"/>
      <c r="J1270" s="180"/>
      <c r="K1270" s="180"/>
      <c r="L1270" s="180"/>
      <c r="M1270" s="180"/>
      <c r="N1270" s="180"/>
      <c r="O1270" s="180"/>
      <c r="P1270" s="180"/>
    </row>
    <row r="1271" spans="1:16" x14ac:dyDescent="0.45">
      <c r="A1271" s="180" t="s">
        <v>79</v>
      </c>
      <c r="B1271" s="73">
        <v>21</v>
      </c>
      <c r="C1271" s="73"/>
      <c r="D1271" s="180" t="s">
        <v>318</v>
      </c>
      <c r="E1271" s="39">
        <v>43588</v>
      </c>
      <c r="F1271" s="179">
        <v>0.67708333333333337</v>
      </c>
      <c r="G1271" s="180">
        <v>4</v>
      </c>
      <c r="H1271" s="180"/>
      <c r="I1271" s="180"/>
      <c r="J1271" s="180"/>
      <c r="K1271" s="180"/>
      <c r="L1271" s="180"/>
      <c r="M1271" s="180"/>
      <c r="N1271" s="180"/>
      <c r="O1271" s="180"/>
      <c r="P1271" s="180"/>
    </row>
    <row r="1272" spans="1:16" x14ac:dyDescent="0.45">
      <c r="A1272" s="180" t="s">
        <v>79</v>
      </c>
      <c r="B1272" s="73">
        <v>3</v>
      </c>
      <c r="C1272" s="73"/>
      <c r="D1272" s="180" t="s">
        <v>128</v>
      </c>
      <c r="E1272" s="39">
        <v>43591</v>
      </c>
      <c r="F1272" s="179">
        <v>0.56666666666666665</v>
      </c>
      <c r="G1272" s="180">
        <v>2</v>
      </c>
      <c r="H1272" s="180" t="s">
        <v>313</v>
      </c>
      <c r="I1272" s="180"/>
      <c r="J1272" s="180"/>
      <c r="K1272" s="180"/>
      <c r="L1272" s="180"/>
      <c r="M1272" s="180"/>
      <c r="N1272" s="180"/>
      <c r="O1272" s="180"/>
      <c r="P1272" s="180"/>
    </row>
    <row r="1273" spans="1:16" x14ac:dyDescent="0.45">
      <c r="A1273" s="180" t="s">
        <v>79</v>
      </c>
      <c r="B1273" s="73">
        <v>7</v>
      </c>
      <c r="C1273" s="73">
        <v>7</v>
      </c>
      <c r="D1273" s="180" t="s">
        <v>306</v>
      </c>
      <c r="E1273" s="39">
        <v>43591</v>
      </c>
      <c r="F1273" s="179">
        <v>0.65625</v>
      </c>
      <c r="G1273" s="180">
        <v>1</v>
      </c>
      <c r="H1273" s="180"/>
      <c r="I1273" s="180"/>
      <c r="J1273" s="180"/>
      <c r="K1273" s="180"/>
      <c r="L1273" s="180"/>
      <c r="M1273" s="180"/>
      <c r="N1273" s="180"/>
      <c r="O1273" s="180"/>
      <c r="P1273" s="180"/>
    </row>
    <row r="1274" spans="1:16" x14ac:dyDescent="0.45">
      <c r="A1274" s="180" t="s">
        <v>79</v>
      </c>
      <c r="B1274" s="73">
        <v>150</v>
      </c>
      <c r="C1274" s="73">
        <v>150</v>
      </c>
      <c r="D1274" s="180" t="s">
        <v>314</v>
      </c>
      <c r="E1274" s="39">
        <v>43593</v>
      </c>
      <c r="F1274" s="179">
        <v>0.78263888888888899</v>
      </c>
      <c r="G1274" s="180">
        <v>1</v>
      </c>
      <c r="H1274" s="180"/>
      <c r="I1274" s="180"/>
      <c r="J1274" s="180"/>
      <c r="K1274" s="180"/>
      <c r="L1274" s="180"/>
      <c r="M1274" s="180"/>
      <c r="N1274" s="180"/>
      <c r="O1274" s="180"/>
      <c r="P1274" s="180"/>
    </row>
    <row r="1275" spans="1:16" x14ac:dyDescent="0.45">
      <c r="A1275" s="180" t="s">
        <v>79</v>
      </c>
      <c r="B1275" s="73">
        <v>44</v>
      </c>
      <c r="C1275" s="73">
        <v>44</v>
      </c>
      <c r="D1275" s="180" t="s">
        <v>315</v>
      </c>
      <c r="E1275" s="39">
        <v>43593</v>
      </c>
      <c r="F1275" s="179">
        <v>0.80208333333333337</v>
      </c>
      <c r="G1275" s="180">
        <v>3</v>
      </c>
      <c r="H1275" s="180" t="s">
        <v>316</v>
      </c>
      <c r="I1275" s="180"/>
      <c r="J1275" s="180"/>
      <c r="K1275" s="180"/>
      <c r="L1275" s="180"/>
      <c r="M1275" s="180"/>
      <c r="N1275" s="180"/>
      <c r="O1275" s="180"/>
      <c r="P1275" s="180"/>
    </row>
    <row r="1276" spans="1:16" x14ac:dyDescent="0.45">
      <c r="A1276" s="180" t="s">
        <v>79</v>
      </c>
      <c r="B1276" s="73">
        <v>44</v>
      </c>
      <c r="C1276" s="73"/>
      <c r="D1276" s="180" t="s">
        <v>318</v>
      </c>
      <c r="E1276" s="39">
        <v>43593</v>
      </c>
      <c r="F1276" s="179">
        <v>0.80208333333333337</v>
      </c>
      <c r="G1276" s="180">
        <v>3</v>
      </c>
      <c r="H1276" s="180" t="s">
        <v>280</v>
      </c>
      <c r="I1276" s="180"/>
      <c r="J1276" s="180"/>
      <c r="K1276" s="180"/>
      <c r="L1276" s="180"/>
      <c r="M1276" s="180"/>
      <c r="N1276" s="180"/>
      <c r="O1276" s="180"/>
      <c r="P1276" s="180"/>
    </row>
    <row r="1277" spans="1:16" x14ac:dyDescent="0.45">
      <c r="A1277" s="180" t="s">
        <v>79</v>
      </c>
      <c r="B1277" s="73">
        <v>300</v>
      </c>
      <c r="C1277" s="73">
        <v>300</v>
      </c>
      <c r="D1277" s="180" t="s">
        <v>278</v>
      </c>
      <c r="E1277" s="39">
        <v>43593</v>
      </c>
      <c r="F1277" s="180"/>
      <c r="G1277" s="180"/>
      <c r="H1277" s="180" t="s">
        <v>280</v>
      </c>
      <c r="I1277" s="180"/>
      <c r="J1277" s="180"/>
      <c r="K1277" s="180"/>
      <c r="L1277" s="180"/>
      <c r="M1277" s="180"/>
      <c r="N1277" s="180"/>
      <c r="O1277" s="180"/>
      <c r="P1277" s="180"/>
    </row>
    <row r="1278" spans="1:16" x14ac:dyDescent="0.45">
      <c r="A1278" s="180" t="s">
        <v>79</v>
      </c>
      <c r="B1278" s="73">
        <v>8</v>
      </c>
      <c r="C1278" s="73"/>
      <c r="D1278" s="180" t="s">
        <v>281</v>
      </c>
      <c r="E1278" s="39">
        <v>43593</v>
      </c>
      <c r="F1278" s="179">
        <v>0.41666666666666669</v>
      </c>
      <c r="G1278" s="180">
        <v>4</v>
      </c>
      <c r="H1278" s="180"/>
      <c r="I1278" s="180"/>
      <c r="J1278" s="180"/>
      <c r="K1278" s="180"/>
      <c r="L1278" s="180"/>
      <c r="M1278" s="180"/>
      <c r="N1278" s="180"/>
      <c r="O1278" s="180"/>
      <c r="P1278" s="180"/>
    </row>
    <row r="1279" spans="1:16" x14ac:dyDescent="0.45">
      <c r="A1279" s="180" t="s">
        <v>79</v>
      </c>
      <c r="B1279" s="73">
        <v>20</v>
      </c>
      <c r="C1279" s="73">
        <v>20</v>
      </c>
      <c r="D1279" s="180" t="s">
        <v>281</v>
      </c>
      <c r="E1279" s="39">
        <v>43593</v>
      </c>
      <c r="F1279" s="180"/>
      <c r="G1279" s="180"/>
      <c r="H1279" s="180" t="s">
        <v>280</v>
      </c>
      <c r="I1279" s="180"/>
      <c r="J1279" s="180"/>
      <c r="K1279" s="180"/>
      <c r="L1279" s="180"/>
      <c r="M1279" s="180"/>
      <c r="N1279" s="180"/>
      <c r="O1279" s="180"/>
      <c r="P1279" s="180"/>
    </row>
    <row r="1280" spans="1:16" x14ac:dyDescent="0.45">
      <c r="A1280" s="180" t="s">
        <v>79</v>
      </c>
      <c r="B1280" s="73">
        <v>8</v>
      </c>
      <c r="C1280" s="73"/>
      <c r="D1280" s="180" t="s">
        <v>281</v>
      </c>
      <c r="E1280" s="39">
        <v>43593</v>
      </c>
      <c r="F1280" s="179">
        <v>0.41666666666666669</v>
      </c>
      <c r="G1280" s="180">
        <v>4</v>
      </c>
      <c r="H1280" s="180"/>
      <c r="I1280" s="180"/>
      <c r="J1280" s="180"/>
      <c r="K1280" s="180"/>
      <c r="L1280" s="180"/>
      <c r="M1280" s="180"/>
      <c r="N1280" s="180"/>
      <c r="O1280" s="180"/>
      <c r="P1280" s="180"/>
    </row>
    <row r="1281" spans="1:16" x14ac:dyDescent="0.45">
      <c r="A1281" s="180" t="s">
        <v>79</v>
      </c>
      <c r="B1281" s="73">
        <v>8</v>
      </c>
      <c r="C1281" s="73"/>
      <c r="D1281" s="180" t="s">
        <v>281</v>
      </c>
      <c r="E1281" s="39">
        <v>43593</v>
      </c>
      <c r="F1281" s="179">
        <v>0.41666666666666669</v>
      </c>
      <c r="G1281" s="180">
        <v>4</v>
      </c>
      <c r="H1281" s="180"/>
      <c r="I1281" s="180"/>
      <c r="J1281" s="180"/>
      <c r="K1281" s="180"/>
      <c r="L1281" s="180"/>
      <c r="M1281" s="180"/>
      <c r="N1281" s="180"/>
      <c r="O1281" s="180"/>
      <c r="P1281" s="180"/>
    </row>
    <row r="1282" spans="1:16" x14ac:dyDescent="0.45">
      <c r="A1282" s="180" t="s">
        <v>79</v>
      </c>
      <c r="B1282" s="73">
        <v>260</v>
      </c>
      <c r="C1282" s="73"/>
      <c r="D1282" s="180" t="s">
        <v>282</v>
      </c>
      <c r="E1282" s="39">
        <v>43593</v>
      </c>
      <c r="F1282" s="179">
        <v>0.375</v>
      </c>
      <c r="G1282" s="180">
        <v>6</v>
      </c>
      <c r="H1282" s="180" t="s">
        <v>283</v>
      </c>
      <c r="I1282" s="180"/>
      <c r="J1282" s="180"/>
      <c r="K1282" s="180"/>
      <c r="L1282" s="180"/>
      <c r="M1282" s="180"/>
      <c r="N1282" s="180"/>
      <c r="O1282" s="180"/>
      <c r="P1282" s="180"/>
    </row>
    <row r="1283" spans="1:16" x14ac:dyDescent="0.45">
      <c r="A1283" s="180" t="s">
        <v>79</v>
      </c>
      <c r="B1283" s="73">
        <v>4</v>
      </c>
      <c r="C1283" s="73"/>
      <c r="D1283" s="180" t="s">
        <v>284</v>
      </c>
      <c r="E1283" s="39">
        <v>43593</v>
      </c>
      <c r="F1283" s="179">
        <v>0.48680555555555555</v>
      </c>
      <c r="G1283" s="180">
        <v>1</v>
      </c>
      <c r="H1283" s="180"/>
      <c r="I1283" s="180"/>
      <c r="J1283" s="180"/>
      <c r="K1283" s="180"/>
      <c r="L1283" s="180"/>
      <c r="M1283" s="180"/>
      <c r="N1283" s="180"/>
      <c r="O1283" s="180"/>
      <c r="P1283" s="180"/>
    </row>
    <row r="1284" spans="1:16" x14ac:dyDescent="0.45">
      <c r="A1284" s="180" t="s">
        <v>79</v>
      </c>
      <c r="B1284" s="73">
        <v>90</v>
      </c>
      <c r="C1284" s="73"/>
      <c r="D1284" s="180" t="s">
        <v>286</v>
      </c>
      <c r="E1284" s="39">
        <v>43593</v>
      </c>
      <c r="F1284" s="179">
        <v>0.35833333333333334</v>
      </c>
      <c r="G1284" s="180">
        <v>1</v>
      </c>
      <c r="H1284" s="180" t="s">
        <v>287</v>
      </c>
      <c r="I1284" s="180"/>
      <c r="J1284" s="180"/>
      <c r="K1284" s="180"/>
      <c r="L1284" s="180"/>
      <c r="M1284" s="180"/>
      <c r="N1284" s="180"/>
      <c r="O1284" s="180"/>
      <c r="P1284" s="180"/>
    </row>
    <row r="1285" spans="1:16" x14ac:dyDescent="0.45">
      <c r="A1285" s="180" t="s">
        <v>79</v>
      </c>
      <c r="B1285" s="73">
        <v>2</v>
      </c>
      <c r="C1285" s="73">
        <v>2</v>
      </c>
      <c r="D1285" s="180" t="s">
        <v>538</v>
      </c>
      <c r="E1285" s="39">
        <v>43594</v>
      </c>
      <c r="F1285" s="179">
        <v>0.48125000000000001</v>
      </c>
      <c r="G1285" s="180">
        <v>1</v>
      </c>
      <c r="H1285" s="180"/>
      <c r="I1285" s="180"/>
      <c r="J1285" s="180"/>
      <c r="K1285" s="180"/>
      <c r="L1285" s="180"/>
      <c r="M1285" s="180"/>
      <c r="N1285" s="180"/>
      <c r="O1285" s="180"/>
      <c r="P1285" s="180"/>
    </row>
    <row r="1286" spans="1:16" x14ac:dyDescent="0.45">
      <c r="A1286" s="180" t="s">
        <v>79</v>
      </c>
      <c r="B1286" s="73">
        <v>21</v>
      </c>
      <c r="C1286" s="73"/>
      <c r="D1286" s="180" t="s">
        <v>128</v>
      </c>
      <c r="E1286" s="39">
        <v>43594</v>
      </c>
      <c r="F1286" s="179">
        <v>0.67847222222222225</v>
      </c>
      <c r="G1286" s="180">
        <v>2</v>
      </c>
      <c r="H1286" s="180" t="s">
        <v>539</v>
      </c>
      <c r="I1286" s="180"/>
      <c r="J1286" s="180"/>
      <c r="K1286" s="180"/>
      <c r="L1286" s="180"/>
      <c r="M1286" s="180"/>
      <c r="N1286" s="180"/>
      <c r="O1286" s="180"/>
      <c r="P1286" s="180"/>
    </row>
    <row r="1287" spans="1:16" x14ac:dyDescent="0.45">
      <c r="A1287" s="180" t="s">
        <v>79</v>
      </c>
      <c r="B1287" s="73">
        <v>12</v>
      </c>
      <c r="C1287" s="73">
        <v>12</v>
      </c>
      <c r="D1287" s="180" t="s">
        <v>319</v>
      </c>
      <c r="E1287" s="39">
        <v>43594</v>
      </c>
      <c r="F1287" s="179">
        <v>0.33333333333333331</v>
      </c>
      <c r="G1287" s="180">
        <v>5</v>
      </c>
      <c r="H1287" s="180" t="s">
        <v>320</v>
      </c>
      <c r="I1287" s="180"/>
      <c r="J1287" s="180"/>
      <c r="K1287" s="180"/>
      <c r="L1287" s="180"/>
      <c r="M1287" s="180"/>
      <c r="N1287" s="180"/>
      <c r="O1287" s="180"/>
      <c r="P1287" s="180"/>
    </row>
    <row r="1288" spans="1:16" x14ac:dyDescent="0.45">
      <c r="A1288" s="180" t="s">
        <v>79</v>
      </c>
      <c r="B1288" s="73">
        <v>9</v>
      </c>
      <c r="C1288" s="73"/>
      <c r="D1288" s="180" t="s">
        <v>319</v>
      </c>
      <c r="E1288" s="39">
        <v>43594</v>
      </c>
      <c r="F1288" s="179">
        <v>0.32291666666666669</v>
      </c>
      <c r="G1288" s="180">
        <v>3</v>
      </c>
      <c r="H1288" s="180"/>
      <c r="I1288" s="180"/>
      <c r="J1288" s="180"/>
      <c r="K1288" s="180"/>
      <c r="L1288" s="180"/>
      <c r="M1288" s="180"/>
      <c r="N1288" s="180"/>
      <c r="O1288" s="180"/>
      <c r="P1288" s="180"/>
    </row>
    <row r="1289" spans="1:16" x14ac:dyDescent="0.45">
      <c r="A1289" s="180" t="s">
        <v>79</v>
      </c>
      <c r="B1289" s="73">
        <v>1</v>
      </c>
      <c r="C1289" s="73">
        <v>1</v>
      </c>
      <c r="D1289" s="180" t="s">
        <v>281</v>
      </c>
      <c r="E1289" s="39">
        <v>43594</v>
      </c>
      <c r="F1289" s="179">
        <v>0.3125</v>
      </c>
      <c r="G1289" s="180">
        <v>14</v>
      </c>
      <c r="H1289" s="180" t="s">
        <v>289</v>
      </c>
      <c r="I1289" s="180"/>
      <c r="J1289" s="180"/>
      <c r="K1289" s="180"/>
      <c r="L1289" s="180"/>
      <c r="M1289" s="180"/>
      <c r="N1289" s="180"/>
      <c r="O1289" s="180"/>
      <c r="P1289" s="180"/>
    </row>
    <row r="1290" spans="1:16" x14ac:dyDescent="0.45">
      <c r="A1290" s="180" t="s">
        <v>79</v>
      </c>
      <c r="B1290" s="73">
        <v>3</v>
      </c>
      <c r="C1290" s="73">
        <v>3</v>
      </c>
      <c r="D1290" s="180" t="s">
        <v>498</v>
      </c>
      <c r="E1290" s="39">
        <v>43594</v>
      </c>
      <c r="F1290" s="179">
        <v>0.35416666666666669</v>
      </c>
      <c r="G1290" s="180">
        <v>7</v>
      </c>
      <c r="H1290" s="180" t="s">
        <v>499</v>
      </c>
      <c r="I1290" s="180"/>
      <c r="J1290" s="180"/>
      <c r="K1290" s="180"/>
      <c r="L1290" s="180"/>
      <c r="M1290" s="180"/>
      <c r="N1290" s="180"/>
      <c r="O1290" s="180"/>
      <c r="P1290" s="180"/>
    </row>
    <row r="1291" spans="1:16" x14ac:dyDescent="0.45">
      <c r="A1291" s="180" t="s">
        <v>79</v>
      </c>
      <c r="B1291" s="73">
        <v>3</v>
      </c>
      <c r="C1291" s="73"/>
      <c r="D1291" s="180" t="s">
        <v>498</v>
      </c>
      <c r="E1291" s="39">
        <v>43594</v>
      </c>
      <c r="F1291" s="179">
        <v>0.35416666666666669</v>
      </c>
      <c r="G1291" s="180">
        <v>7</v>
      </c>
      <c r="H1291" s="180" t="s">
        <v>499</v>
      </c>
      <c r="I1291" s="180"/>
      <c r="J1291" s="180"/>
      <c r="K1291" s="180"/>
      <c r="L1291" s="180"/>
      <c r="M1291" s="180"/>
      <c r="N1291" s="180"/>
      <c r="O1291" s="180"/>
      <c r="P1291" s="180"/>
    </row>
    <row r="1292" spans="1:16" x14ac:dyDescent="0.45">
      <c r="A1292" s="180" t="s">
        <v>79</v>
      </c>
      <c r="B1292" s="73">
        <v>30</v>
      </c>
      <c r="C1292" s="73"/>
      <c r="D1292" s="180" t="s">
        <v>72</v>
      </c>
      <c r="E1292" s="39">
        <v>43595</v>
      </c>
      <c r="F1292" s="179">
        <v>0.625</v>
      </c>
      <c r="G1292" s="180">
        <v>2</v>
      </c>
      <c r="H1292" s="180" t="s">
        <v>519</v>
      </c>
      <c r="I1292" s="180"/>
      <c r="J1292" s="180"/>
      <c r="K1292" s="180"/>
      <c r="L1292" s="180"/>
      <c r="M1292" s="180"/>
      <c r="N1292" s="180"/>
      <c r="O1292" s="180"/>
      <c r="P1292" s="180"/>
    </row>
    <row r="1293" spans="1:16" x14ac:dyDescent="0.45">
      <c r="A1293" s="180" t="s">
        <v>79</v>
      </c>
      <c r="B1293" s="73">
        <v>100</v>
      </c>
      <c r="C1293" s="73">
        <v>100</v>
      </c>
      <c r="D1293" s="180" t="s">
        <v>291</v>
      </c>
      <c r="E1293" s="39">
        <v>43595</v>
      </c>
      <c r="F1293" s="179">
        <v>0.3125</v>
      </c>
      <c r="G1293" s="180">
        <v>6</v>
      </c>
      <c r="H1293" s="180" t="s">
        <v>540</v>
      </c>
      <c r="I1293" s="180"/>
      <c r="J1293" s="180"/>
      <c r="K1293" s="180"/>
      <c r="L1293" s="180"/>
      <c r="M1293" s="180"/>
      <c r="N1293" s="180"/>
      <c r="O1293" s="180"/>
      <c r="P1293" s="180"/>
    </row>
    <row r="1294" spans="1:16" x14ac:dyDescent="0.45">
      <c r="A1294" s="180" t="s">
        <v>79</v>
      </c>
      <c r="B1294" s="73">
        <v>30</v>
      </c>
      <c r="C1294" s="73"/>
      <c r="D1294" s="180" t="s">
        <v>72</v>
      </c>
      <c r="E1294" s="39">
        <v>43596</v>
      </c>
      <c r="F1294" s="179">
        <v>0.33333333333333331</v>
      </c>
      <c r="G1294" s="180">
        <v>2</v>
      </c>
      <c r="H1294" s="180" t="s">
        <v>322</v>
      </c>
      <c r="I1294" s="180"/>
      <c r="J1294" s="180"/>
      <c r="K1294" s="180"/>
      <c r="L1294" s="180"/>
      <c r="M1294" s="180"/>
      <c r="N1294" s="180"/>
      <c r="O1294" s="180"/>
      <c r="P1294" s="180"/>
    </row>
    <row r="1295" spans="1:16" x14ac:dyDescent="0.45">
      <c r="A1295" s="180" t="s">
        <v>79</v>
      </c>
      <c r="B1295" s="73">
        <v>40</v>
      </c>
      <c r="C1295" s="73"/>
      <c r="D1295" s="180" t="s">
        <v>128</v>
      </c>
      <c r="E1295" s="39">
        <v>43596</v>
      </c>
      <c r="F1295" s="179">
        <v>0.3125</v>
      </c>
      <c r="G1295" s="180">
        <v>6</v>
      </c>
      <c r="H1295" s="180" t="s">
        <v>503</v>
      </c>
      <c r="I1295" s="180"/>
      <c r="J1295" s="180"/>
      <c r="K1295" s="180"/>
      <c r="L1295" s="180"/>
      <c r="M1295" s="180"/>
      <c r="N1295" s="180"/>
      <c r="O1295" s="180"/>
      <c r="P1295" s="180"/>
    </row>
    <row r="1296" spans="1:16" x14ac:dyDescent="0.45">
      <c r="A1296" s="180" t="s">
        <v>79</v>
      </c>
      <c r="B1296" s="73">
        <v>25</v>
      </c>
      <c r="C1296" s="73"/>
      <c r="D1296" s="180" t="s">
        <v>306</v>
      </c>
      <c r="E1296" s="39">
        <v>43596</v>
      </c>
      <c r="F1296" s="179">
        <v>0.36249999999999999</v>
      </c>
      <c r="G1296" s="180">
        <v>2</v>
      </c>
      <c r="H1296" s="180"/>
      <c r="I1296" s="180"/>
      <c r="J1296" s="180"/>
      <c r="K1296" s="180"/>
      <c r="L1296" s="180"/>
      <c r="M1296" s="180"/>
      <c r="N1296" s="180"/>
      <c r="O1296" s="180"/>
      <c r="P1296" s="180"/>
    </row>
    <row r="1297" spans="1:16" x14ac:dyDescent="0.45">
      <c r="A1297" s="180" t="s">
        <v>79</v>
      </c>
      <c r="B1297" s="73">
        <v>120</v>
      </c>
      <c r="C1297" s="73">
        <v>120</v>
      </c>
      <c r="D1297" s="180" t="s">
        <v>314</v>
      </c>
      <c r="E1297" s="39">
        <v>43596</v>
      </c>
      <c r="F1297" s="179">
        <v>0.36041666666666666</v>
      </c>
      <c r="G1297" s="180">
        <v>1</v>
      </c>
      <c r="H1297" s="180"/>
      <c r="I1297" s="180"/>
      <c r="J1297" s="180"/>
      <c r="K1297" s="180"/>
      <c r="L1297" s="180"/>
      <c r="M1297" s="180"/>
      <c r="N1297" s="180"/>
      <c r="O1297" s="180"/>
      <c r="P1297" s="180"/>
    </row>
    <row r="1298" spans="1:16" x14ac:dyDescent="0.45">
      <c r="A1298" s="180" t="s">
        <v>79</v>
      </c>
      <c r="B1298" s="73">
        <v>120</v>
      </c>
      <c r="C1298" s="73"/>
      <c r="D1298" s="180" t="s">
        <v>314</v>
      </c>
      <c r="E1298" s="39">
        <v>43596</v>
      </c>
      <c r="F1298" s="179">
        <v>0.35416666666666669</v>
      </c>
      <c r="G1298" s="180">
        <v>7</v>
      </c>
      <c r="H1298" s="180"/>
      <c r="I1298" s="180"/>
      <c r="J1298" s="180"/>
      <c r="K1298" s="180"/>
      <c r="L1298" s="180"/>
      <c r="M1298" s="180"/>
      <c r="N1298" s="180"/>
      <c r="O1298" s="180"/>
      <c r="P1298" s="180"/>
    </row>
    <row r="1299" spans="1:16" x14ac:dyDescent="0.45">
      <c r="A1299" s="180" t="s">
        <v>79</v>
      </c>
      <c r="B1299" s="73">
        <v>120</v>
      </c>
      <c r="C1299" s="73"/>
      <c r="D1299" s="180" t="s">
        <v>314</v>
      </c>
      <c r="E1299" s="39">
        <v>43596</v>
      </c>
      <c r="F1299" s="179">
        <v>0.3611111111111111</v>
      </c>
      <c r="G1299" s="180">
        <v>3</v>
      </c>
      <c r="H1299" s="180" t="s">
        <v>323</v>
      </c>
      <c r="I1299" s="180"/>
      <c r="J1299" s="180"/>
      <c r="K1299" s="180"/>
      <c r="L1299" s="180"/>
      <c r="M1299" s="180"/>
      <c r="N1299" s="180"/>
      <c r="O1299" s="180"/>
      <c r="P1299" s="180"/>
    </row>
    <row r="1300" spans="1:16" x14ac:dyDescent="0.45">
      <c r="A1300" s="180" t="s">
        <v>79</v>
      </c>
      <c r="B1300" s="73">
        <v>120</v>
      </c>
      <c r="C1300" s="73"/>
      <c r="D1300" s="180" t="s">
        <v>314</v>
      </c>
      <c r="E1300" s="39">
        <v>43596</v>
      </c>
      <c r="F1300" s="179">
        <v>0.3611111111111111</v>
      </c>
      <c r="G1300" s="180">
        <v>3</v>
      </c>
      <c r="H1300" s="180" t="s">
        <v>323</v>
      </c>
      <c r="I1300" s="180"/>
      <c r="J1300" s="180"/>
      <c r="K1300" s="180"/>
      <c r="L1300" s="180"/>
      <c r="M1300" s="180"/>
      <c r="N1300" s="180"/>
      <c r="O1300" s="180"/>
      <c r="P1300" s="180"/>
    </row>
    <row r="1301" spans="1:16" x14ac:dyDescent="0.45">
      <c r="A1301" s="180" t="s">
        <v>79</v>
      </c>
      <c r="B1301" s="73">
        <v>10</v>
      </c>
      <c r="C1301" s="73"/>
      <c r="D1301" s="180" t="s">
        <v>314</v>
      </c>
      <c r="E1301" s="39">
        <v>43596</v>
      </c>
      <c r="F1301" s="179">
        <v>0.88541666666666663</v>
      </c>
      <c r="G1301" s="180">
        <v>3</v>
      </c>
      <c r="H1301" s="180"/>
      <c r="I1301" s="180"/>
      <c r="J1301" s="180"/>
      <c r="K1301" s="180"/>
      <c r="L1301" s="180"/>
      <c r="M1301" s="180"/>
      <c r="N1301" s="180"/>
      <c r="O1301" s="180"/>
      <c r="P1301" s="180"/>
    </row>
    <row r="1302" spans="1:16" x14ac:dyDescent="0.45">
      <c r="A1302" s="180" t="s">
        <v>79</v>
      </c>
      <c r="B1302" s="73">
        <v>70</v>
      </c>
      <c r="C1302" s="73"/>
      <c r="D1302" s="180" t="s">
        <v>338</v>
      </c>
      <c r="E1302" s="39">
        <v>43596</v>
      </c>
      <c r="F1302" s="179">
        <v>0.3125</v>
      </c>
      <c r="G1302" s="180">
        <v>1</v>
      </c>
      <c r="H1302" s="180"/>
      <c r="I1302" s="180"/>
      <c r="J1302" s="180"/>
      <c r="K1302" s="180"/>
      <c r="L1302" s="180"/>
      <c r="M1302" s="180"/>
      <c r="N1302" s="180"/>
      <c r="O1302" s="180"/>
      <c r="P1302" s="180"/>
    </row>
    <row r="1303" spans="1:16" x14ac:dyDescent="0.45">
      <c r="A1303" s="180" t="s">
        <v>79</v>
      </c>
      <c r="B1303" s="73">
        <v>120</v>
      </c>
      <c r="C1303" s="73"/>
      <c r="D1303" s="180" t="s">
        <v>324</v>
      </c>
      <c r="E1303" s="39">
        <v>43596</v>
      </c>
      <c r="F1303" s="179">
        <v>0.28333333333333333</v>
      </c>
      <c r="G1303" s="180">
        <v>2</v>
      </c>
      <c r="H1303" s="180"/>
      <c r="I1303" s="180"/>
      <c r="J1303" s="180"/>
      <c r="K1303" s="180"/>
      <c r="L1303" s="180"/>
      <c r="M1303" s="180"/>
      <c r="N1303" s="180"/>
      <c r="O1303" s="180"/>
      <c r="P1303" s="180"/>
    </row>
    <row r="1304" spans="1:16" x14ac:dyDescent="0.45">
      <c r="A1304" s="180" t="s">
        <v>79</v>
      </c>
      <c r="B1304" s="73">
        <v>30</v>
      </c>
      <c r="C1304" s="73"/>
      <c r="D1304" s="180" t="s">
        <v>319</v>
      </c>
      <c r="E1304" s="39">
        <v>43596</v>
      </c>
      <c r="F1304" s="179">
        <v>0.37708333333333338</v>
      </c>
      <c r="G1304" s="180">
        <v>2</v>
      </c>
      <c r="H1304" s="180"/>
      <c r="I1304" s="180"/>
      <c r="J1304" s="180"/>
      <c r="K1304" s="180"/>
      <c r="L1304" s="180"/>
      <c r="M1304" s="180"/>
      <c r="N1304" s="180"/>
      <c r="O1304" s="180"/>
      <c r="P1304" s="180"/>
    </row>
    <row r="1305" spans="1:16" x14ac:dyDescent="0.45">
      <c r="A1305" s="180" t="s">
        <v>79</v>
      </c>
      <c r="B1305" s="73">
        <v>40</v>
      </c>
      <c r="C1305" s="73"/>
      <c r="D1305" s="180" t="s">
        <v>319</v>
      </c>
      <c r="E1305" s="39">
        <v>43596</v>
      </c>
      <c r="F1305" s="179">
        <v>0.33333333333333331</v>
      </c>
      <c r="G1305" s="180">
        <v>1</v>
      </c>
      <c r="H1305" s="180" t="s">
        <v>328</v>
      </c>
      <c r="I1305" s="180"/>
      <c r="J1305" s="180"/>
      <c r="K1305" s="180"/>
      <c r="L1305" s="180"/>
      <c r="M1305" s="180"/>
      <c r="N1305" s="180"/>
      <c r="O1305" s="180"/>
      <c r="P1305" s="180"/>
    </row>
    <row r="1306" spans="1:16" x14ac:dyDescent="0.45">
      <c r="A1306" s="180" t="s">
        <v>79</v>
      </c>
      <c r="B1306" s="73">
        <v>30</v>
      </c>
      <c r="C1306" s="73"/>
      <c r="D1306" s="180" t="s">
        <v>319</v>
      </c>
      <c r="E1306" s="39">
        <v>43596</v>
      </c>
      <c r="F1306" s="179">
        <v>0.37708333333333338</v>
      </c>
      <c r="G1306" s="180">
        <v>2</v>
      </c>
      <c r="H1306" s="180"/>
      <c r="I1306" s="180"/>
      <c r="J1306" s="180"/>
      <c r="K1306" s="180"/>
      <c r="L1306" s="180"/>
      <c r="M1306" s="180"/>
      <c r="N1306" s="180"/>
      <c r="O1306" s="180"/>
      <c r="P1306" s="180"/>
    </row>
    <row r="1307" spans="1:16" x14ac:dyDescent="0.45">
      <c r="A1307" s="180" t="s">
        <v>79</v>
      </c>
      <c r="B1307" s="73">
        <v>100</v>
      </c>
      <c r="C1307" s="73"/>
      <c r="D1307" s="180" t="s">
        <v>291</v>
      </c>
      <c r="E1307" s="39">
        <v>43596</v>
      </c>
      <c r="F1307" s="179">
        <v>0.54166666666666663</v>
      </c>
      <c r="G1307" s="180">
        <v>1</v>
      </c>
      <c r="H1307" s="180" t="s">
        <v>292</v>
      </c>
      <c r="I1307" s="180"/>
      <c r="J1307" s="180"/>
      <c r="K1307" s="180"/>
      <c r="L1307" s="180"/>
      <c r="M1307" s="180"/>
      <c r="N1307" s="180"/>
      <c r="O1307" s="180"/>
      <c r="P1307" s="180"/>
    </row>
    <row r="1308" spans="1:16" x14ac:dyDescent="0.45">
      <c r="A1308" s="180" t="s">
        <v>79</v>
      </c>
      <c r="B1308" s="73">
        <v>100</v>
      </c>
      <c r="C1308" s="73"/>
      <c r="D1308" s="180" t="s">
        <v>291</v>
      </c>
      <c r="E1308" s="39">
        <v>43596</v>
      </c>
      <c r="F1308" s="179">
        <v>0.55208333333333337</v>
      </c>
      <c r="G1308" s="180">
        <v>2</v>
      </c>
      <c r="H1308" s="180"/>
      <c r="I1308" s="180"/>
      <c r="J1308" s="180"/>
      <c r="K1308" s="180"/>
      <c r="L1308" s="180"/>
      <c r="M1308" s="180"/>
      <c r="N1308" s="180"/>
      <c r="O1308" s="180"/>
      <c r="P1308" s="180"/>
    </row>
    <row r="1309" spans="1:16" x14ac:dyDescent="0.45">
      <c r="A1309" s="180" t="s">
        <v>79</v>
      </c>
      <c r="B1309" s="73">
        <v>25</v>
      </c>
      <c r="C1309" s="73"/>
      <c r="D1309" s="180" t="s">
        <v>291</v>
      </c>
      <c r="E1309" s="39">
        <v>43596</v>
      </c>
      <c r="F1309" s="179">
        <v>0.54166666666666663</v>
      </c>
      <c r="G1309" s="180">
        <v>20</v>
      </c>
      <c r="H1309" s="180" t="s">
        <v>293</v>
      </c>
      <c r="I1309" s="180"/>
      <c r="J1309" s="180"/>
      <c r="K1309" s="180"/>
      <c r="L1309" s="180"/>
      <c r="M1309" s="180"/>
      <c r="N1309" s="180"/>
      <c r="O1309" s="180"/>
      <c r="P1309" s="180"/>
    </row>
    <row r="1310" spans="1:16" x14ac:dyDescent="0.45">
      <c r="A1310" s="180" t="s">
        <v>79</v>
      </c>
      <c r="B1310" s="73">
        <v>215</v>
      </c>
      <c r="C1310" s="73">
        <v>215</v>
      </c>
      <c r="D1310" s="180" t="s">
        <v>281</v>
      </c>
      <c r="E1310" s="39">
        <v>43596</v>
      </c>
      <c r="F1310" s="179">
        <v>0.47847222222222219</v>
      </c>
      <c r="G1310" s="180">
        <v>12</v>
      </c>
      <c r="H1310" s="180"/>
      <c r="I1310" s="180"/>
      <c r="J1310" s="180"/>
      <c r="K1310" s="180"/>
      <c r="L1310" s="180"/>
      <c r="M1310" s="180"/>
      <c r="N1310" s="180"/>
      <c r="O1310" s="180"/>
      <c r="P1310" s="180"/>
    </row>
    <row r="1311" spans="1:16" x14ac:dyDescent="0.45">
      <c r="A1311" s="180" t="s">
        <v>79</v>
      </c>
      <c r="B1311" s="73">
        <v>215</v>
      </c>
      <c r="C1311" s="73"/>
      <c r="D1311" s="180" t="s">
        <v>281</v>
      </c>
      <c r="E1311" s="39">
        <v>43596</v>
      </c>
      <c r="F1311" s="179">
        <v>0.47847222222222219</v>
      </c>
      <c r="G1311" s="180">
        <v>12</v>
      </c>
      <c r="H1311" s="180"/>
      <c r="I1311" s="180"/>
      <c r="J1311" s="180"/>
      <c r="K1311" s="180"/>
      <c r="L1311" s="180"/>
      <c r="M1311" s="180"/>
      <c r="N1311" s="180"/>
      <c r="O1311" s="180"/>
      <c r="P1311" s="180"/>
    </row>
    <row r="1312" spans="1:16" x14ac:dyDescent="0.45">
      <c r="A1312" s="180" t="s">
        <v>79</v>
      </c>
      <c r="B1312" s="73">
        <v>215</v>
      </c>
      <c r="C1312" s="73"/>
      <c r="D1312" s="180" t="s">
        <v>281</v>
      </c>
      <c r="E1312" s="39">
        <v>43596</v>
      </c>
      <c r="F1312" s="179">
        <v>0.47847222222222219</v>
      </c>
      <c r="G1312" s="180">
        <v>12</v>
      </c>
      <c r="H1312" s="180"/>
      <c r="I1312" s="180"/>
      <c r="J1312" s="180"/>
      <c r="K1312" s="180"/>
      <c r="L1312" s="180"/>
      <c r="M1312" s="180"/>
      <c r="N1312" s="180"/>
      <c r="O1312" s="180"/>
      <c r="P1312" s="180"/>
    </row>
    <row r="1313" spans="1:16" x14ac:dyDescent="0.45">
      <c r="A1313" s="180" t="s">
        <v>79</v>
      </c>
      <c r="B1313" s="73">
        <v>215</v>
      </c>
      <c r="C1313" s="73"/>
      <c r="D1313" s="180" t="s">
        <v>281</v>
      </c>
      <c r="E1313" s="39">
        <v>43596</v>
      </c>
      <c r="F1313" s="179">
        <v>0.47847222222222219</v>
      </c>
      <c r="G1313" s="180">
        <v>12</v>
      </c>
      <c r="H1313" s="180"/>
      <c r="I1313" s="180"/>
      <c r="J1313" s="180"/>
      <c r="K1313" s="180"/>
      <c r="L1313" s="180"/>
      <c r="M1313" s="180"/>
      <c r="N1313" s="180"/>
      <c r="O1313" s="180"/>
      <c r="P1313" s="180"/>
    </row>
    <row r="1314" spans="1:16" x14ac:dyDescent="0.45">
      <c r="A1314" s="180" t="s">
        <v>79</v>
      </c>
      <c r="B1314" s="73">
        <v>215</v>
      </c>
      <c r="C1314" s="73"/>
      <c r="D1314" s="180" t="s">
        <v>281</v>
      </c>
      <c r="E1314" s="39">
        <v>43596</v>
      </c>
      <c r="F1314" s="179">
        <v>0.47847222222222219</v>
      </c>
      <c r="G1314" s="180">
        <v>12</v>
      </c>
      <c r="H1314" s="180"/>
      <c r="I1314" s="180"/>
      <c r="J1314" s="180"/>
      <c r="K1314" s="180"/>
      <c r="L1314" s="180"/>
      <c r="M1314" s="180"/>
      <c r="N1314" s="180"/>
      <c r="O1314" s="180"/>
      <c r="P1314" s="180"/>
    </row>
    <row r="1315" spans="1:16" x14ac:dyDescent="0.45">
      <c r="A1315" s="180" t="s">
        <v>79</v>
      </c>
      <c r="B1315" s="73">
        <v>215</v>
      </c>
      <c r="C1315" s="73"/>
      <c r="D1315" s="180" t="s">
        <v>281</v>
      </c>
      <c r="E1315" s="39">
        <v>43596</v>
      </c>
      <c r="F1315" s="179">
        <v>0.47847222222222219</v>
      </c>
      <c r="G1315" s="180">
        <v>12</v>
      </c>
      <c r="H1315" s="180"/>
      <c r="I1315" s="180"/>
      <c r="J1315" s="180"/>
      <c r="K1315" s="180"/>
      <c r="L1315" s="180"/>
      <c r="M1315" s="180"/>
      <c r="N1315" s="180"/>
      <c r="O1315" s="180"/>
      <c r="P1315" s="180"/>
    </row>
    <row r="1316" spans="1:16" x14ac:dyDescent="0.45">
      <c r="A1316" s="180" t="s">
        <v>79</v>
      </c>
      <c r="B1316" s="73">
        <v>215</v>
      </c>
      <c r="C1316" s="73"/>
      <c r="D1316" s="180" t="s">
        <v>281</v>
      </c>
      <c r="E1316" s="39">
        <v>43596</v>
      </c>
      <c r="F1316" s="179">
        <v>0.47847222222222219</v>
      </c>
      <c r="G1316" s="180">
        <v>12</v>
      </c>
      <c r="H1316" s="180"/>
      <c r="I1316" s="180"/>
      <c r="J1316" s="180"/>
      <c r="K1316" s="180"/>
      <c r="L1316" s="180"/>
      <c r="M1316" s="180"/>
      <c r="N1316" s="180"/>
      <c r="O1316" s="180"/>
      <c r="P1316" s="180"/>
    </row>
    <row r="1317" spans="1:16" x14ac:dyDescent="0.45">
      <c r="A1317" s="180" t="s">
        <v>79</v>
      </c>
      <c r="B1317" s="73">
        <v>215</v>
      </c>
      <c r="C1317" s="73"/>
      <c r="D1317" s="180" t="s">
        <v>281</v>
      </c>
      <c r="E1317" s="39">
        <v>43596</v>
      </c>
      <c r="F1317" s="179">
        <v>0.47847222222222219</v>
      </c>
      <c r="G1317" s="180">
        <v>12</v>
      </c>
      <c r="H1317" s="180"/>
      <c r="I1317" s="180"/>
      <c r="J1317" s="180"/>
      <c r="K1317" s="180"/>
      <c r="L1317" s="180"/>
      <c r="M1317" s="180"/>
      <c r="N1317" s="180"/>
      <c r="O1317" s="180"/>
      <c r="P1317" s="180"/>
    </row>
    <row r="1318" spans="1:16" x14ac:dyDescent="0.45">
      <c r="A1318" s="180" t="s">
        <v>79</v>
      </c>
      <c r="B1318" s="73">
        <v>215</v>
      </c>
      <c r="C1318" s="73"/>
      <c r="D1318" s="180" t="s">
        <v>281</v>
      </c>
      <c r="E1318" s="39">
        <v>43596</v>
      </c>
      <c r="F1318" s="179">
        <v>0.47847222222222219</v>
      </c>
      <c r="G1318" s="180">
        <v>12</v>
      </c>
      <c r="H1318" s="180"/>
      <c r="I1318" s="180"/>
      <c r="J1318" s="180"/>
      <c r="K1318" s="180"/>
      <c r="L1318" s="180"/>
      <c r="M1318" s="180"/>
      <c r="N1318" s="180"/>
      <c r="O1318" s="180"/>
      <c r="P1318" s="180"/>
    </row>
    <row r="1319" spans="1:16" x14ac:dyDescent="0.45">
      <c r="A1319" s="180" t="s">
        <v>79</v>
      </c>
      <c r="B1319" s="73">
        <v>16</v>
      </c>
      <c r="C1319" s="73"/>
      <c r="D1319" s="180" t="s">
        <v>330</v>
      </c>
      <c r="E1319" s="39">
        <v>43596</v>
      </c>
      <c r="F1319" s="179">
        <v>0.40972222222222227</v>
      </c>
      <c r="G1319" s="180">
        <v>1</v>
      </c>
      <c r="H1319" s="180" t="s">
        <v>541</v>
      </c>
      <c r="I1319" s="180"/>
      <c r="J1319" s="180"/>
      <c r="K1319" s="180"/>
      <c r="L1319" s="180"/>
      <c r="M1319" s="180"/>
      <c r="N1319" s="180"/>
      <c r="O1319" s="180"/>
      <c r="P1319" s="180"/>
    </row>
    <row r="1320" spans="1:16" x14ac:dyDescent="0.45">
      <c r="A1320" s="180" t="s">
        <v>79</v>
      </c>
      <c r="B1320" s="73">
        <v>70</v>
      </c>
      <c r="C1320" s="73"/>
      <c r="D1320" s="180" t="s">
        <v>330</v>
      </c>
      <c r="E1320" s="39">
        <v>43596</v>
      </c>
      <c r="F1320" s="179">
        <v>0.35000000000000003</v>
      </c>
      <c r="G1320" s="180">
        <v>1</v>
      </c>
      <c r="H1320" s="180"/>
      <c r="I1320" s="180"/>
      <c r="J1320" s="180"/>
      <c r="K1320" s="180"/>
      <c r="L1320" s="180"/>
      <c r="M1320" s="180"/>
      <c r="N1320" s="180"/>
      <c r="O1320" s="180"/>
      <c r="P1320" s="180"/>
    </row>
    <row r="1321" spans="1:16" x14ac:dyDescent="0.45">
      <c r="A1321" s="180" t="s">
        <v>79</v>
      </c>
      <c r="B1321" s="73">
        <v>200</v>
      </c>
      <c r="C1321" s="73"/>
      <c r="D1321" s="180" t="s">
        <v>128</v>
      </c>
      <c r="E1321" s="39">
        <v>43597</v>
      </c>
      <c r="F1321" s="179">
        <v>0.77430555555555547</v>
      </c>
      <c r="G1321" s="180">
        <v>6</v>
      </c>
      <c r="H1321" s="180"/>
      <c r="I1321" s="180"/>
      <c r="J1321" s="180"/>
      <c r="K1321" s="180"/>
      <c r="L1321" s="180"/>
      <c r="M1321" s="180"/>
      <c r="N1321" s="180"/>
      <c r="O1321" s="180"/>
      <c r="P1321" s="180"/>
    </row>
    <row r="1322" spans="1:16" x14ac:dyDescent="0.45">
      <c r="A1322" s="180" t="s">
        <v>79</v>
      </c>
      <c r="B1322" s="73">
        <v>350</v>
      </c>
      <c r="C1322" s="73">
        <v>350</v>
      </c>
      <c r="D1322" s="180" t="s">
        <v>319</v>
      </c>
      <c r="E1322" s="39">
        <v>43597</v>
      </c>
      <c r="F1322" s="179">
        <v>0.52083333333333337</v>
      </c>
      <c r="G1322" s="180">
        <v>1</v>
      </c>
      <c r="H1322" s="180" t="s">
        <v>542</v>
      </c>
      <c r="I1322" s="180"/>
      <c r="J1322" s="180"/>
      <c r="K1322" s="180"/>
      <c r="L1322" s="180"/>
      <c r="M1322" s="180"/>
      <c r="N1322" s="180"/>
      <c r="O1322" s="180"/>
      <c r="P1322" s="180"/>
    </row>
    <row r="1323" spans="1:16" x14ac:dyDescent="0.45">
      <c r="A1323" s="180" t="s">
        <v>79</v>
      </c>
      <c r="B1323" s="73">
        <v>22</v>
      </c>
      <c r="C1323" s="73"/>
      <c r="D1323" s="180" t="s">
        <v>334</v>
      </c>
      <c r="E1323" s="39">
        <v>43597</v>
      </c>
      <c r="F1323" s="179">
        <v>0.75347222222222221</v>
      </c>
      <c r="G1323" s="180">
        <v>3</v>
      </c>
      <c r="H1323" s="180" t="s">
        <v>335</v>
      </c>
      <c r="I1323" s="180"/>
      <c r="J1323" s="180"/>
      <c r="K1323" s="180"/>
      <c r="L1323" s="180"/>
      <c r="M1323" s="180"/>
      <c r="N1323" s="180"/>
      <c r="O1323" s="180"/>
      <c r="P1323" s="180"/>
    </row>
    <row r="1324" spans="1:16" x14ac:dyDescent="0.45">
      <c r="A1324" s="180" t="s">
        <v>79</v>
      </c>
      <c r="B1324" s="73">
        <v>22</v>
      </c>
      <c r="C1324" s="73"/>
      <c r="D1324" s="180" t="s">
        <v>334</v>
      </c>
      <c r="E1324" s="39">
        <v>43597</v>
      </c>
      <c r="F1324" s="179">
        <v>0.75347222222222221</v>
      </c>
      <c r="G1324" s="180">
        <v>3</v>
      </c>
      <c r="H1324" s="180" t="s">
        <v>335</v>
      </c>
      <c r="I1324" s="180"/>
      <c r="J1324" s="180"/>
      <c r="K1324" s="180"/>
      <c r="L1324" s="180"/>
      <c r="M1324" s="180"/>
      <c r="N1324" s="180"/>
      <c r="O1324" s="180"/>
      <c r="P1324" s="180"/>
    </row>
    <row r="1325" spans="1:16" x14ac:dyDescent="0.45">
      <c r="A1325" s="180" t="s">
        <v>79</v>
      </c>
      <c r="B1325" s="73">
        <v>3</v>
      </c>
      <c r="C1325" s="73">
        <v>3</v>
      </c>
      <c r="D1325" s="180" t="s">
        <v>318</v>
      </c>
      <c r="E1325" s="39">
        <v>43598</v>
      </c>
      <c r="F1325" s="179">
        <v>0.42708333333333331</v>
      </c>
      <c r="G1325" s="180">
        <v>3</v>
      </c>
      <c r="H1325" s="180" t="s">
        <v>472</v>
      </c>
      <c r="I1325" s="180"/>
      <c r="J1325" s="180"/>
      <c r="K1325" s="180"/>
      <c r="L1325" s="180"/>
      <c r="M1325" s="180"/>
      <c r="N1325" s="180"/>
      <c r="O1325" s="180"/>
      <c r="P1325" s="180"/>
    </row>
    <row r="1326" spans="1:16" x14ac:dyDescent="0.45">
      <c r="A1326" s="180" t="s">
        <v>79</v>
      </c>
      <c r="B1326" s="73">
        <v>3</v>
      </c>
      <c r="C1326" s="73"/>
      <c r="D1326" s="180" t="s">
        <v>318</v>
      </c>
      <c r="E1326" s="39">
        <v>43598</v>
      </c>
      <c r="F1326" s="179">
        <v>0.51041666666666663</v>
      </c>
      <c r="G1326" s="180">
        <v>3</v>
      </c>
      <c r="H1326" s="180" t="s">
        <v>316</v>
      </c>
      <c r="I1326" s="180"/>
      <c r="J1326" s="180"/>
      <c r="K1326" s="180"/>
      <c r="L1326" s="180"/>
      <c r="M1326" s="180"/>
      <c r="N1326" s="180"/>
      <c r="O1326" s="180"/>
      <c r="P1326" s="180"/>
    </row>
    <row r="1327" spans="1:16" x14ac:dyDescent="0.45">
      <c r="A1327" s="180" t="s">
        <v>79</v>
      </c>
      <c r="B1327" s="73">
        <v>300</v>
      </c>
      <c r="C1327" s="73">
        <v>300</v>
      </c>
      <c r="D1327" s="180" t="s">
        <v>278</v>
      </c>
      <c r="E1327" s="39">
        <v>43598</v>
      </c>
      <c r="F1327" s="179">
        <v>0.41666666666666669</v>
      </c>
      <c r="G1327" s="180">
        <v>1</v>
      </c>
      <c r="H1327" s="180" t="s">
        <v>298</v>
      </c>
      <c r="I1327" s="180"/>
      <c r="J1327" s="180"/>
      <c r="K1327" s="180"/>
      <c r="L1327" s="180"/>
      <c r="M1327" s="180"/>
      <c r="N1327" s="180"/>
      <c r="O1327" s="180"/>
      <c r="P1327" s="180"/>
    </row>
    <row r="1328" spans="1:16" x14ac:dyDescent="0.45">
      <c r="A1328" s="180" t="s">
        <v>79</v>
      </c>
      <c r="B1328" s="73">
        <v>45</v>
      </c>
      <c r="C1328" s="73">
        <v>45</v>
      </c>
      <c r="D1328" s="180" t="s">
        <v>338</v>
      </c>
      <c r="E1328" s="39">
        <v>43603</v>
      </c>
      <c r="F1328" s="179">
        <v>0.70833333333333337</v>
      </c>
      <c r="G1328" s="180">
        <v>2</v>
      </c>
      <c r="H1328" s="180" t="s">
        <v>339</v>
      </c>
      <c r="I1328" s="180"/>
      <c r="J1328" s="180"/>
      <c r="K1328" s="180"/>
      <c r="L1328" s="180"/>
      <c r="M1328" s="180"/>
      <c r="N1328" s="180"/>
      <c r="O1328" s="180"/>
      <c r="P1328" s="180"/>
    </row>
    <row r="1329" spans="1:16" x14ac:dyDescent="0.45">
      <c r="A1329" s="180" t="s">
        <v>79</v>
      </c>
      <c r="B1329" s="73">
        <v>2</v>
      </c>
      <c r="C1329" s="73"/>
      <c r="D1329" s="180" t="s">
        <v>338</v>
      </c>
      <c r="E1329" s="39">
        <v>43603</v>
      </c>
      <c r="F1329" s="179">
        <v>0.69652777777777775</v>
      </c>
      <c r="G1329" s="180">
        <v>1</v>
      </c>
      <c r="H1329" s="180"/>
      <c r="I1329" s="180"/>
      <c r="J1329" s="180"/>
      <c r="K1329" s="180"/>
      <c r="L1329" s="180"/>
      <c r="M1329" s="180"/>
      <c r="N1329" s="180"/>
      <c r="O1329" s="180"/>
      <c r="P1329" s="180"/>
    </row>
    <row r="1330" spans="1:16" x14ac:dyDescent="0.45">
      <c r="A1330" s="180" t="s">
        <v>79</v>
      </c>
      <c r="B1330" s="73">
        <v>45</v>
      </c>
      <c r="C1330" s="73"/>
      <c r="D1330" s="180" t="s">
        <v>318</v>
      </c>
      <c r="E1330" s="39">
        <v>43603</v>
      </c>
      <c r="F1330" s="179">
        <v>0.70833333333333337</v>
      </c>
      <c r="G1330" s="180">
        <v>2</v>
      </c>
      <c r="H1330" s="180" t="s">
        <v>272</v>
      </c>
      <c r="I1330" s="180"/>
      <c r="J1330" s="180"/>
      <c r="K1330" s="180"/>
      <c r="L1330" s="180"/>
      <c r="M1330" s="180"/>
      <c r="N1330" s="180"/>
      <c r="O1330" s="180"/>
      <c r="P1330" s="180"/>
    </row>
    <row r="1331" spans="1:16" x14ac:dyDescent="0.45">
      <c r="A1331" s="180" t="s">
        <v>79</v>
      </c>
      <c r="B1331" s="73">
        <v>48</v>
      </c>
      <c r="C1331" s="73">
        <v>48</v>
      </c>
      <c r="D1331" s="180" t="s">
        <v>278</v>
      </c>
      <c r="E1331" s="39">
        <v>43603</v>
      </c>
      <c r="F1331" s="179">
        <v>0.58333333333333337</v>
      </c>
      <c r="G1331" s="180">
        <v>1</v>
      </c>
      <c r="H1331" s="180" t="s">
        <v>272</v>
      </c>
      <c r="I1331" s="180"/>
      <c r="J1331" s="180"/>
      <c r="K1331" s="180"/>
      <c r="L1331" s="180"/>
      <c r="M1331" s="180"/>
      <c r="N1331" s="180"/>
      <c r="O1331" s="180"/>
      <c r="P1331" s="180"/>
    </row>
    <row r="1332" spans="1:16" x14ac:dyDescent="0.45">
      <c r="A1332" s="180" t="s">
        <v>79</v>
      </c>
      <c r="B1332" s="73">
        <v>13</v>
      </c>
      <c r="C1332" s="73">
        <v>13</v>
      </c>
      <c r="D1332" s="180" t="s">
        <v>281</v>
      </c>
      <c r="E1332" s="39">
        <v>43603</v>
      </c>
      <c r="F1332" s="179">
        <v>0.58333333333333337</v>
      </c>
      <c r="G1332" s="180">
        <v>1</v>
      </c>
      <c r="H1332" s="180" t="s">
        <v>300</v>
      </c>
      <c r="I1332" s="180"/>
      <c r="J1332" s="180"/>
      <c r="K1332" s="180"/>
      <c r="L1332" s="180"/>
      <c r="M1332" s="180"/>
      <c r="N1332" s="180"/>
      <c r="O1332" s="180"/>
      <c r="P1332" s="180"/>
    </row>
    <row r="1333" spans="1:16" x14ac:dyDescent="0.45">
      <c r="A1333" s="1" t="s">
        <v>273</v>
      </c>
      <c r="B1333" s="73"/>
      <c r="C1333" s="73">
        <f>SUM(C1256:C1332)</f>
        <v>1898</v>
      </c>
      <c r="D1333" s="180"/>
      <c r="E1333" s="39"/>
      <c r="F1333" s="179"/>
      <c r="G1333" s="180"/>
      <c r="H1333" s="180"/>
      <c r="I1333" s="180"/>
      <c r="J1333" s="180"/>
      <c r="K1333" s="180"/>
      <c r="L1333" s="180"/>
      <c r="M1333" s="180"/>
      <c r="N1333" s="180"/>
      <c r="O1333" s="180"/>
      <c r="P1333" s="180"/>
    </row>
    <row r="1334" spans="1:16" x14ac:dyDescent="0.45">
      <c r="A1334" s="180"/>
      <c r="B1334" s="73"/>
      <c r="C1334" s="73"/>
      <c r="D1334" s="180"/>
      <c r="E1334" s="39"/>
      <c r="F1334" s="179"/>
      <c r="G1334" s="180"/>
      <c r="H1334" s="180"/>
      <c r="I1334" s="180"/>
      <c r="J1334" s="180"/>
      <c r="K1334" s="180"/>
      <c r="L1334" s="180"/>
      <c r="M1334" s="180"/>
      <c r="N1334" s="180"/>
      <c r="O1334" s="180"/>
      <c r="P1334" s="180"/>
    </row>
    <row r="1335" spans="1:16" x14ac:dyDescent="0.45">
      <c r="A1335" s="180" t="s">
        <v>8</v>
      </c>
      <c r="B1335" s="73">
        <v>1</v>
      </c>
      <c r="C1335" s="73">
        <v>1</v>
      </c>
      <c r="D1335" s="180" t="s">
        <v>543</v>
      </c>
      <c r="E1335" s="39">
        <v>43589</v>
      </c>
      <c r="F1335" s="179">
        <v>0.46180555555555558</v>
      </c>
      <c r="G1335" s="180">
        <v>1</v>
      </c>
      <c r="H1335" s="180"/>
      <c r="I1335" s="180"/>
      <c r="J1335" s="180"/>
      <c r="K1335" s="180"/>
      <c r="L1335" s="180"/>
      <c r="M1335" s="180"/>
      <c r="N1335" s="180"/>
      <c r="O1335" s="180"/>
      <c r="P1335" s="180"/>
    </row>
    <row r="1336" spans="1:16" x14ac:dyDescent="0.45">
      <c r="A1336" s="180" t="s">
        <v>8</v>
      </c>
      <c r="B1336" s="73">
        <v>1</v>
      </c>
      <c r="C1336" s="73"/>
      <c r="D1336" s="180" t="s">
        <v>128</v>
      </c>
      <c r="E1336" s="39">
        <v>43593</v>
      </c>
      <c r="F1336" s="179">
        <v>0.49722222222222223</v>
      </c>
      <c r="G1336" s="180">
        <v>2</v>
      </c>
      <c r="H1336" s="180"/>
      <c r="I1336" s="180"/>
      <c r="J1336" s="180"/>
      <c r="K1336" s="180"/>
      <c r="L1336" s="180"/>
      <c r="M1336" s="180"/>
      <c r="N1336" s="180"/>
      <c r="O1336" s="180"/>
      <c r="P1336" s="180"/>
    </row>
    <row r="1337" spans="1:16" x14ac:dyDescent="0.45">
      <c r="A1337" s="180" t="s">
        <v>8</v>
      </c>
      <c r="B1337" s="73">
        <v>1</v>
      </c>
      <c r="C1337" s="73">
        <v>1</v>
      </c>
      <c r="D1337" s="180" t="s">
        <v>315</v>
      </c>
      <c r="E1337" s="39">
        <v>43593</v>
      </c>
      <c r="F1337" s="179">
        <v>0.80208333333333337</v>
      </c>
      <c r="G1337" s="180">
        <v>3</v>
      </c>
      <c r="H1337" s="180" t="s">
        <v>316</v>
      </c>
      <c r="I1337" s="180"/>
      <c r="J1337" s="180"/>
      <c r="K1337" s="180"/>
      <c r="L1337" s="180"/>
      <c r="M1337" s="180"/>
      <c r="N1337" s="180"/>
      <c r="O1337" s="180"/>
      <c r="P1337" s="180"/>
    </row>
    <row r="1338" spans="1:16" x14ac:dyDescent="0.45">
      <c r="A1338" s="180" t="s">
        <v>8</v>
      </c>
      <c r="B1338" s="73">
        <v>1</v>
      </c>
      <c r="C1338" s="73"/>
      <c r="D1338" s="180" t="s">
        <v>318</v>
      </c>
      <c r="E1338" s="39">
        <v>43593</v>
      </c>
      <c r="F1338" s="179">
        <v>0.80208333333333337</v>
      </c>
      <c r="G1338" s="180">
        <v>3</v>
      </c>
      <c r="H1338" s="180" t="s">
        <v>280</v>
      </c>
      <c r="I1338" s="180"/>
      <c r="J1338" s="180"/>
      <c r="K1338" s="180"/>
      <c r="L1338" s="180"/>
      <c r="M1338" s="180"/>
      <c r="N1338" s="180"/>
      <c r="O1338" s="180"/>
      <c r="P1338" s="180"/>
    </row>
    <row r="1339" spans="1:16" x14ac:dyDescent="0.45">
      <c r="A1339" s="180" t="s">
        <v>8</v>
      </c>
      <c r="B1339" s="73">
        <v>2</v>
      </c>
      <c r="C1339" s="73">
        <v>2</v>
      </c>
      <c r="D1339" s="180" t="s">
        <v>281</v>
      </c>
      <c r="E1339" s="39">
        <v>43593</v>
      </c>
      <c r="F1339" s="179">
        <v>0.41666666666666669</v>
      </c>
      <c r="G1339" s="180">
        <v>4</v>
      </c>
      <c r="H1339" s="180"/>
      <c r="I1339" s="180"/>
      <c r="J1339" s="180"/>
      <c r="K1339" s="180"/>
      <c r="L1339" s="180"/>
      <c r="M1339" s="180"/>
      <c r="N1339" s="180"/>
      <c r="O1339" s="180"/>
      <c r="P1339" s="180"/>
    </row>
    <row r="1340" spans="1:16" x14ac:dyDescent="0.45">
      <c r="A1340" s="180" t="s">
        <v>8</v>
      </c>
      <c r="B1340" s="73">
        <v>2</v>
      </c>
      <c r="C1340" s="73"/>
      <c r="D1340" s="180" t="s">
        <v>281</v>
      </c>
      <c r="E1340" s="39">
        <v>43593</v>
      </c>
      <c r="F1340" s="179">
        <v>0.41666666666666669</v>
      </c>
      <c r="G1340" s="180">
        <v>4</v>
      </c>
      <c r="H1340" s="180"/>
      <c r="I1340" s="180" t="s">
        <v>544</v>
      </c>
      <c r="J1340" s="180"/>
      <c r="K1340" s="180"/>
      <c r="L1340" s="180"/>
      <c r="M1340" s="180"/>
      <c r="N1340" s="180"/>
      <c r="O1340" s="180"/>
      <c r="P1340" s="180"/>
    </row>
    <row r="1341" spans="1:16" x14ac:dyDescent="0.45">
      <c r="A1341" s="180" t="s">
        <v>8</v>
      </c>
      <c r="B1341" s="73">
        <v>2</v>
      </c>
      <c r="C1341" s="73"/>
      <c r="D1341" s="180" t="s">
        <v>281</v>
      </c>
      <c r="E1341" s="39">
        <v>43593</v>
      </c>
      <c r="F1341" s="179">
        <v>0.41666666666666669</v>
      </c>
      <c r="G1341" s="180">
        <v>4</v>
      </c>
      <c r="H1341" s="180"/>
      <c r="I1341" s="180"/>
      <c r="J1341" s="180"/>
      <c r="K1341" s="180"/>
      <c r="L1341" s="180"/>
      <c r="M1341" s="180"/>
      <c r="N1341" s="180"/>
      <c r="O1341" s="180"/>
      <c r="P1341" s="180"/>
    </row>
    <row r="1342" spans="1:16" x14ac:dyDescent="0.45">
      <c r="A1342" s="180" t="s">
        <v>8</v>
      </c>
      <c r="B1342" s="73">
        <v>1</v>
      </c>
      <c r="C1342" s="73"/>
      <c r="D1342" s="180" t="s">
        <v>128</v>
      </c>
      <c r="E1342" s="39">
        <v>43594</v>
      </c>
      <c r="F1342" s="179">
        <v>0.70833333333333337</v>
      </c>
      <c r="G1342" s="180">
        <v>3</v>
      </c>
      <c r="H1342" s="180"/>
      <c r="I1342" s="180"/>
      <c r="J1342" s="180"/>
      <c r="K1342" s="180"/>
      <c r="L1342" s="180"/>
      <c r="M1342" s="180"/>
      <c r="N1342" s="180"/>
      <c r="O1342" s="180"/>
      <c r="P1342" s="180"/>
    </row>
    <row r="1343" spans="1:16" x14ac:dyDescent="0.45">
      <c r="A1343" s="180" t="s">
        <v>8</v>
      </c>
      <c r="B1343" s="73">
        <v>4</v>
      </c>
      <c r="C1343" s="73">
        <v>4</v>
      </c>
      <c r="D1343" s="180" t="s">
        <v>128</v>
      </c>
      <c r="E1343" s="39">
        <v>43594</v>
      </c>
      <c r="F1343" s="179">
        <v>0.67847222222222225</v>
      </c>
      <c r="G1343" s="180">
        <v>2</v>
      </c>
      <c r="H1343" s="180" t="s">
        <v>539</v>
      </c>
      <c r="I1343" s="180"/>
      <c r="J1343" s="180"/>
      <c r="K1343" s="180"/>
      <c r="L1343" s="180"/>
      <c r="M1343" s="180"/>
      <c r="N1343" s="180"/>
      <c r="O1343" s="180"/>
      <c r="P1343" s="180"/>
    </row>
    <row r="1344" spans="1:16" x14ac:dyDescent="0.45">
      <c r="A1344" s="180" t="s">
        <v>8</v>
      </c>
      <c r="B1344" s="73">
        <v>1</v>
      </c>
      <c r="C1344" s="73"/>
      <c r="D1344" s="180" t="s">
        <v>319</v>
      </c>
      <c r="E1344" s="39">
        <v>43594</v>
      </c>
      <c r="F1344" s="179">
        <v>0.33333333333333331</v>
      </c>
      <c r="G1344" s="180">
        <v>5</v>
      </c>
      <c r="H1344" s="180" t="s">
        <v>320</v>
      </c>
      <c r="I1344" s="180"/>
      <c r="J1344" s="180"/>
      <c r="K1344" s="180"/>
      <c r="L1344" s="180"/>
      <c r="M1344" s="180"/>
      <c r="N1344" s="180"/>
      <c r="O1344" s="180"/>
      <c r="P1344" s="180"/>
    </row>
    <row r="1345" spans="1:16" x14ac:dyDescent="0.45">
      <c r="A1345" s="180" t="s">
        <v>8</v>
      </c>
      <c r="B1345" s="73">
        <v>1</v>
      </c>
      <c r="C1345" s="73"/>
      <c r="D1345" s="180" t="s">
        <v>319</v>
      </c>
      <c r="E1345" s="39">
        <v>43594</v>
      </c>
      <c r="F1345" s="179">
        <v>0.32291666666666669</v>
      </c>
      <c r="G1345" s="180">
        <v>3</v>
      </c>
      <c r="H1345" s="180"/>
      <c r="I1345" s="180"/>
      <c r="J1345" s="180"/>
      <c r="K1345" s="180"/>
      <c r="L1345" s="180"/>
      <c r="M1345" s="180"/>
      <c r="N1345" s="180"/>
      <c r="O1345" s="180"/>
      <c r="P1345" s="180"/>
    </row>
    <row r="1346" spans="1:16" x14ac:dyDescent="0.45">
      <c r="A1346" s="180" t="s">
        <v>8</v>
      </c>
      <c r="B1346" s="73">
        <v>1</v>
      </c>
      <c r="C1346" s="73">
        <v>1</v>
      </c>
      <c r="D1346" s="180" t="s">
        <v>281</v>
      </c>
      <c r="E1346" s="39">
        <v>43594</v>
      </c>
      <c r="F1346" s="179">
        <v>0.3125</v>
      </c>
      <c r="G1346" s="180">
        <v>14</v>
      </c>
      <c r="H1346" s="180" t="s">
        <v>289</v>
      </c>
      <c r="I1346" s="180"/>
      <c r="J1346" s="180"/>
      <c r="K1346" s="180"/>
      <c r="L1346" s="180"/>
      <c r="M1346" s="180"/>
      <c r="N1346" s="180"/>
      <c r="O1346" s="180"/>
      <c r="P1346" s="180"/>
    </row>
    <row r="1347" spans="1:16" x14ac:dyDescent="0.45">
      <c r="A1347" s="180" t="s">
        <v>8</v>
      </c>
      <c r="B1347" s="73">
        <v>1</v>
      </c>
      <c r="C1347" s="73"/>
      <c r="D1347" s="180" t="s">
        <v>281</v>
      </c>
      <c r="E1347" s="39">
        <v>43594</v>
      </c>
      <c r="F1347" s="179">
        <v>0.61944444444444446</v>
      </c>
      <c r="G1347" s="180">
        <v>8</v>
      </c>
      <c r="H1347" s="180"/>
      <c r="I1347" s="180"/>
      <c r="J1347" s="180"/>
      <c r="K1347" s="180"/>
      <c r="L1347" s="180"/>
      <c r="M1347" s="180"/>
      <c r="N1347" s="180"/>
      <c r="O1347" s="180"/>
      <c r="P1347" s="180"/>
    </row>
    <row r="1348" spans="1:16" x14ac:dyDescent="0.45">
      <c r="A1348" s="180" t="s">
        <v>8</v>
      </c>
      <c r="B1348" s="73">
        <v>1</v>
      </c>
      <c r="C1348" s="73"/>
      <c r="D1348" s="180" t="s">
        <v>290</v>
      </c>
      <c r="E1348" s="39">
        <v>43594</v>
      </c>
      <c r="F1348" s="179">
        <v>0.3972222222222222</v>
      </c>
      <c r="G1348" s="180">
        <v>1</v>
      </c>
      <c r="H1348" s="180"/>
      <c r="I1348" s="180"/>
      <c r="J1348" s="180"/>
      <c r="K1348" s="180"/>
      <c r="L1348" s="180"/>
      <c r="M1348" s="180"/>
      <c r="N1348" s="180"/>
      <c r="O1348" s="180"/>
      <c r="P1348" s="180"/>
    </row>
    <row r="1349" spans="1:16" x14ac:dyDescent="0.45">
      <c r="A1349" s="180" t="s">
        <v>8</v>
      </c>
      <c r="B1349" s="73">
        <v>7</v>
      </c>
      <c r="C1349" s="73"/>
      <c r="D1349" s="180" t="s">
        <v>306</v>
      </c>
      <c r="E1349" s="39">
        <v>43595</v>
      </c>
      <c r="F1349" s="179">
        <v>0.73611111111111116</v>
      </c>
      <c r="G1349" s="180">
        <v>1</v>
      </c>
      <c r="H1349" s="180"/>
      <c r="I1349" s="180"/>
      <c r="J1349" s="180"/>
      <c r="K1349" s="180"/>
      <c r="L1349" s="180"/>
      <c r="M1349" s="180"/>
      <c r="N1349" s="180"/>
      <c r="O1349" s="180"/>
      <c r="P1349" s="180"/>
    </row>
    <row r="1350" spans="1:16" x14ac:dyDescent="0.45">
      <c r="A1350" s="180" t="s">
        <v>8</v>
      </c>
      <c r="B1350" s="73">
        <v>10</v>
      </c>
      <c r="C1350" s="73"/>
      <c r="D1350" s="180" t="s">
        <v>306</v>
      </c>
      <c r="E1350" s="39">
        <v>43595</v>
      </c>
      <c r="F1350" s="179">
        <v>0.87708333333333333</v>
      </c>
      <c r="G1350" s="180">
        <v>1</v>
      </c>
      <c r="H1350" s="180"/>
      <c r="I1350" s="180"/>
      <c r="J1350" s="180"/>
      <c r="K1350" s="180"/>
      <c r="L1350" s="180"/>
      <c r="M1350" s="180"/>
      <c r="N1350" s="180"/>
      <c r="O1350" s="180"/>
      <c r="P1350" s="180"/>
    </row>
    <row r="1351" spans="1:16" x14ac:dyDescent="0.45">
      <c r="A1351" s="180" t="s">
        <v>8</v>
      </c>
      <c r="B1351" s="73">
        <v>1</v>
      </c>
      <c r="C1351" s="73">
        <v>1</v>
      </c>
      <c r="D1351" s="180" t="s">
        <v>429</v>
      </c>
      <c r="E1351" s="39">
        <v>43595</v>
      </c>
      <c r="F1351" s="179">
        <v>0.30833333333333335</v>
      </c>
      <c r="G1351" s="180">
        <v>10</v>
      </c>
      <c r="H1351" s="180" t="s">
        <v>496</v>
      </c>
      <c r="I1351" s="180" t="s">
        <v>377</v>
      </c>
      <c r="J1351" s="180"/>
      <c r="K1351" s="180"/>
      <c r="L1351" s="180"/>
      <c r="M1351" s="180"/>
      <c r="N1351" s="180"/>
      <c r="O1351" s="180"/>
      <c r="P1351" s="180"/>
    </row>
    <row r="1352" spans="1:16" x14ac:dyDescent="0.45">
      <c r="A1352" s="180" t="s">
        <v>8</v>
      </c>
      <c r="B1352" s="73">
        <v>1</v>
      </c>
      <c r="C1352" s="73"/>
      <c r="D1352" s="180" t="s">
        <v>545</v>
      </c>
      <c r="E1352" s="39">
        <v>43596</v>
      </c>
      <c r="F1352" s="179">
        <v>0.47638888888888892</v>
      </c>
      <c r="G1352" s="180">
        <v>1</v>
      </c>
      <c r="H1352" s="180"/>
      <c r="I1352" s="180"/>
      <c r="K1352" s="180"/>
      <c r="L1352" s="180"/>
      <c r="M1352" s="180"/>
      <c r="N1352" s="180"/>
      <c r="O1352" s="180"/>
      <c r="P1352" s="180"/>
    </row>
    <row r="1353" spans="1:16" x14ac:dyDescent="0.45">
      <c r="A1353" s="180" t="s">
        <v>8</v>
      </c>
      <c r="B1353" s="73">
        <v>1</v>
      </c>
      <c r="C1353" s="73"/>
      <c r="D1353" s="180" t="s">
        <v>128</v>
      </c>
      <c r="E1353" s="39">
        <v>43596</v>
      </c>
      <c r="F1353" s="179">
        <v>0.89583333333333337</v>
      </c>
      <c r="G1353" s="180">
        <v>1</v>
      </c>
      <c r="H1353" s="180"/>
      <c r="I1353" s="180"/>
      <c r="K1353" s="180"/>
      <c r="L1353" s="180"/>
      <c r="M1353" s="180"/>
      <c r="N1353" s="180"/>
      <c r="O1353" s="180"/>
      <c r="P1353" s="180"/>
    </row>
    <row r="1354" spans="1:16" x14ac:dyDescent="0.45">
      <c r="A1354" s="180" t="s">
        <v>8</v>
      </c>
      <c r="B1354" s="73">
        <v>3</v>
      </c>
      <c r="C1354" s="73"/>
      <c r="D1354" s="180" t="s">
        <v>128</v>
      </c>
      <c r="E1354" s="39">
        <v>43596</v>
      </c>
      <c r="F1354" s="179">
        <v>0.6</v>
      </c>
      <c r="G1354" s="180">
        <v>2</v>
      </c>
      <c r="H1354" s="180"/>
      <c r="I1354" s="180"/>
      <c r="J1354" s="180"/>
      <c r="K1354" s="180"/>
      <c r="L1354" s="180"/>
      <c r="M1354" s="180"/>
      <c r="N1354" s="180"/>
      <c r="O1354" s="180"/>
      <c r="P1354" s="180"/>
    </row>
    <row r="1355" spans="1:16" x14ac:dyDescent="0.45">
      <c r="A1355" s="180" t="s">
        <v>8</v>
      </c>
      <c r="B1355" s="73">
        <v>1</v>
      </c>
      <c r="C1355" s="73"/>
      <c r="D1355" s="180" t="s">
        <v>306</v>
      </c>
      <c r="E1355" s="39">
        <v>43596</v>
      </c>
      <c r="F1355" s="179">
        <v>0.37847222222222227</v>
      </c>
      <c r="G1355" s="180">
        <v>8</v>
      </c>
      <c r="H1355" s="180"/>
      <c r="I1355" s="180"/>
      <c r="J1355" s="180"/>
      <c r="K1355" s="180"/>
      <c r="L1355" s="180"/>
      <c r="M1355" s="180"/>
      <c r="N1355" s="180"/>
      <c r="O1355" s="180"/>
      <c r="P1355" s="180"/>
    </row>
    <row r="1356" spans="1:16" x14ac:dyDescent="0.45">
      <c r="A1356" s="180" t="s">
        <v>8</v>
      </c>
      <c r="B1356" s="73">
        <v>5</v>
      </c>
      <c r="C1356" s="73"/>
      <c r="D1356" s="180" t="s">
        <v>306</v>
      </c>
      <c r="E1356" s="39">
        <v>43596</v>
      </c>
      <c r="F1356" s="179">
        <v>0.36249999999999999</v>
      </c>
      <c r="G1356" s="180">
        <v>2</v>
      </c>
      <c r="H1356" s="180"/>
      <c r="I1356" s="180"/>
      <c r="J1356" s="180"/>
      <c r="K1356" s="180"/>
      <c r="L1356" s="180"/>
      <c r="M1356" s="180"/>
      <c r="N1356" s="180"/>
      <c r="O1356" s="180"/>
      <c r="P1356" s="180"/>
    </row>
    <row r="1357" spans="1:16" x14ac:dyDescent="0.45">
      <c r="A1357" s="180" t="s">
        <v>8</v>
      </c>
      <c r="B1357" s="73">
        <v>13</v>
      </c>
      <c r="C1357" s="73">
        <v>13</v>
      </c>
      <c r="D1357" s="180" t="s">
        <v>314</v>
      </c>
      <c r="E1357" s="39">
        <v>43596</v>
      </c>
      <c r="F1357" s="179">
        <v>0.88541666666666663</v>
      </c>
      <c r="G1357" s="180">
        <v>3</v>
      </c>
      <c r="H1357" s="180"/>
      <c r="I1357" s="180" t="s">
        <v>546</v>
      </c>
      <c r="J1357" s="180"/>
      <c r="K1357" s="180"/>
      <c r="L1357" s="180"/>
      <c r="M1357" s="180"/>
      <c r="N1357" s="180"/>
      <c r="O1357" s="180"/>
      <c r="P1357" s="180"/>
    </row>
    <row r="1358" spans="1:16" x14ac:dyDescent="0.45">
      <c r="A1358" s="180" t="s">
        <v>8</v>
      </c>
      <c r="B1358" s="73">
        <v>5</v>
      </c>
      <c r="C1358" s="73">
        <v>5</v>
      </c>
      <c r="D1358" s="180" t="s">
        <v>547</v>
      </c>
      <c r="E1358" s="39">
        <v>43597</v>
      </c>
      <c r="F1358" s="179">
        <v>0.61875000000000002</v>
      </c>
      <c r="G1358" s="180">
        <v>1</v>
      </c>
      <c r="H1358" s="180"/>
      <c r="I1358" s="180"/>
      <c r="J1358" s="180"/>
      <c r="K1358" s="180"/>
      <c r="L1358" s="180"/>
      <c r="M1358" s="180"/>
      <c r="N1358" s="180"/>
      <c r="O1358" s="180"/>
      <c r="P1358" s="180"/>
    </row>
    <row r="1359" spans="1:16" x14ac:dyDescent="0.45">
      <c r="A1359" s="180" t="s">
        <v>8</v>
      </c>
      <c r="B1359" s="73">
        <v>5</v>
      </c>
      <c r="C1359" s="73"/>
      <c r="D1359" s="180" t="s">
        <v>547</v>
      </c>
      <c r="E1359" s="39">
        <v>43597</v>
      </c>
      <c r="F1359" s="179">
        <v>0.61875000000000002</v>
      </c>
      <c r="G1359" s="180">
        <v>1</v>
      </c>
      <c r="H1359" s="180"/>
      <c r="I1359" s="180"/>
      <c r="J1359" s="180"/>
      <c r="K1359" s="180"/>
      <c r="L1359" s="180"/>
      <c r="M1359" s="180"/>
      <c r="N1359" s="180"/>
      <c r="O1359" s="180"/>
      <c r="P1359" s="180"/>
    </row>
    <row r="1360" spans="1:16" x14ac:dyDescent="0.45">
      <c r="A1360" s="180" t="s">
        <v>8</v>
      </c>
      <c r="B1360" s="73">
        <v>1</v>
      </c>
      <c r="C1360" s="73"/>
      <c r="D1360" s="180" t="s">
        <v>306</v>
      </c>
      <c r="E1360" s="39">
        <v>43597</v>
      </c>
      <c r="F1360" s="179">
        <v>0.4375</v>
      </c>
      <c r="G1360" s="180">
        <v>3</v>
      </c>
      <c r="H1360" s="180"/>
      <c r="I1360" s="180"/>
      <c r="J1360" s="180"/>
      <c r="K1360" s="180"/>
      <c r="L1360" s="180"/>
      <c r="M1360" s="180"/>
      <c r="N1360" s="180"/>
      <c r="O1360" s="180"/>
      <c r="P1360" s="180"/>
    </row>
    <row r="1361" spans="1:16" x14ac:dyDescent="0.45">
      <c r="A1361" s="180" t="s">
        <v>8</v>
      </c>
      <c r="B1361" s="73">
        <v>1</v>
      </c>
      <c r="C1361" s="73"/>
      <c r="D1361" s="180" t="s">
        <v>306</v>
      </c>
      <c r="E1361" s="39">
        <v>43597</v>
      </c>
      <c r="F1361" s="179">
        <v>0.4375</v>
      </c>
      <c r="G1361" s="180">
        <v>3</v>
      </c>
      <c r="H1361" s="180"/>
      <c r="I1361" s="180"/>
      <c r="J1361" s="180"/>
      <c r="K1361" s="180"/>
      <c r="L1361" s="180"/>
      <c r="M1361" s="180"/>
      <c r="N1361" s="180"/>
      <c r="O1361" s="180"/>
      <c r="P1361" s="180"/>
    </row>
    <row r="1362" spans="1:16" x14ac:dyDescent="0.45">
      <c r="A1362" s="180" t="s">
        <v>8</v>
      </c>
      <c r="B1362" s="73">
        <v>1</v>
      </c>
      <c r="C1362" s="73"/>
      <c r="D1362" s="180" t="s">
        <v>306</v>
      </c>
      <c r="E1362" s="39">
        <v>43597</v>
      </c>
      <c r="F1362" s="179">
        <v>0.4375</v>
      </c>
      <c r="G1362" s="180">
        <v>3</v>
      </c>
      <c r="H1362" s="180" t="s">
        <v>548</v>
      </c>
      <c r="I1362" s="180"/>
      <c r="J1362" s="180"/>
      <c r="K1362" s="180"/>
      <c r="L1362" s="180"/>
      <c r="M1362" s="180"/>
      <c r="N1362" s="180"/>
      <c r="O1362" s="180"/>
      <c r="P1362" s="180"/>
    </row>
    <row r="1363" spans="1:16" x14ac:dyDescent="0.45">
      <c r="A1363" s="180" t="s">
        <v>8</v>
      </c>
      <c r="B1363" s="73">
        <v>1</v>
      </c>
      <c r="C1363" s="73"/>
      <c r="D1363" s="180" t="s">
        <v>306</v>
      </c>
      <c r="E1363" s="39">
        <v>43597</v>
      </c>
      <c r="F1363" s="179">
        <v>0.41319444444444442</v>
      </c>
      <c r="G1363" s="180">
        <v>2</v>
      </c>
      <c r="H1363" s="180"/>
      <c r="I1363" s="180" t="s">
        <v>549</v>
      </c>
      <c r="J1363" s="180"/>
      <c r="K1363" s="180"/>
      <c r="L1363" s="180"/>
      <c r="M1363" s="180"/>
      <c r="N1363" s="180"/>
      <c r="O1363" s="180"/>
      <c r="P1363" s="180"/>
    </row>
    <row r="1364" spans="1:16" x14ac:dyDescent="0.45">
      <c r="A1364" s="180" t="s">
        <v>8</v>
      </c>
      <c r="B1364" s="73">
        <v>1</v>
      </c>
      <c r="C1364" s="73"/>
      <c r="D1364" s="180" t="s">
        <v>306</v>
      </c>
      <c r="E1364" s="39">
        <v>43597</v>
      </c>
      <c r="F1364" s="179">
        <v>0.4375</v>
      </c>
      <c r="G1364" s="180">
        <v>3</v>
      </c>
      <c r="H1364" s="180"/>
      <c r="I1364" s="180"/>
      <c r="J1364" s="180"/>
      <c r="K1364" s="180"/>
      <c r="L1364" s="180"/>
      <c r="M1364" s="180"/>
      <c r="N1364" s="180"/>
      <c r="O1364" s="180"/>
      <c r="P1364" s="180"/>
    </row>
    <row r="1365" spans="1:16" x14ac:dyDescent="0.45">
      <c r="A1365" s="180" t="s">
        <v>8</v>
      </c>
      <c r="B1365" s="73">
        <v>1</v>
      </c>
      <c r="C1365" s="73"/>
      <c r="D1365" s="180" t="s">
        <v>306</v>
      </c>
      <c r="E1365" s="39">
        <v>43597</v>
      </c>
      <c r="F1365" s="179">
        <v>0.4375</v>
      </c>
      <c r="G1365" s="180">
        <v>3</v>
      </c>
      <c r="H1365" s="180" t="s">
        <v>548</v>
      </c>
      <c r="I1365" s="180"/>
      <c r="J1365" s="180"/>
      <c r="K1365" s="180"/>
      <c r="L1365" s="180"/>
      <c r="M1365" s="180"/>
      <c r="N1365" s="180"/>
      <c r="O1365" s="180"/>
      <c r="P1365" s="180"/>
    </row>
    <row r="1366" spans="1:16" x14ac:dyDescent="0.45">
      <c r="A1366" s="180" t="s">
        <v>8</v>
      </c>
      <c r="B1366" s="73">
        <v>1</v>
      </c>
      <c r="C1366" s="73">
        <v>1</v>
      </c>
      <c r="D1366" s="180" t="s">
        <v>290</v>
      </c>
      <c r="E1366" s="39">
        <v>43597</v>
      </c>
      <c r="F1366" s="179">
        <v>0.39583333333333331</v>
      </c>
      <c r="G1366" s="180">
        <v>2</v>
      </c>
      <c r="H1366" s="180"/>
      <c r="I1366" s="180"/>
      <c r="J1366" s="180"/>
      <c r="K1366" s="180"/>
      <c r="L1366" s="180"/>
      <c r="M1366" s="180"/>
      <c r="N1366" s="180"/>
      <c r="O1366" s="180"/>
      <c r="P1366" s="180"/>
    </row>
    <row r="1367" spans="1:16" x14ac:dyDescent="0.45">
      <c r="A1367" s="180" t="s">
        <v>8</v>
      </c>
      <c r="B1367" s="73">
        <v>2</v>
      </c>
      <c r="C1367" s="73"/>
      <c r="D1367" s="180" t="s">
        <v>306</v>
      </c>
      <c r="E1367" s="39">
        <v>43598</v>
      </c>
      <c r="F1367" s="179">
        <v>0.5625</v>
      </c>
      <c r="G1367" s="180">
        <v>1</v>
      </c>
      <c r="H1367" s="180"/>
      <c r="I1367" s="180"/>
      <c r="J1367" s="180"/>
      <c r="K1367" s="180"/>
      <c r="L1367" s="180"/>
      <c r="M1367" s="180"/>
      <c r="N1367" s="180"/>
      <c r="O1367" s="180"/>
      <c r="P1367" s="180"/>
    </row>
    <row r="1368" spans="1:16" x14ac:dyDescent="0.45">
      <c r="A1368" s="180" t="s">
        <v>8</v>
      </c>
      <c r="B1368" s="73">
        <v>1</v>
      </c>
      <c r="C1368" s="73"/>
      <c r="D1368" s="180" t="s">
        <v>306</v>
      </c>
      <c r="E1368" s="39">
        <v>43598</v>
      </c>
      <c r="F1368" s="179">
        <v>0.77500000000000002</v>
      </c>
      <c r="G1368" s="180">
        <v>2</v>
      </c>
      <c r="H1368" s="180"/>
      <c r="I1368" s="180"/>
      <c r="J1368" s="180"/>
      <c r="K1368" s="180"/>
      <c r="L1368" s="180"/>
      <c r="M1368" s="180"/>
      <c r="N1368" s="180"/>
      <c r="O1368" s="180"/>
      <c r="P1368" s="180"/>
    </row>
    <row r="1369" spans="1:16" x14ac:dyDescent="0.45">
      <c r="A1369" s="180" t="s">
        <v>8</v>
      </c>
      <c r="B1369" s="73">
        <v>2</v>
      </c>
      <c r="C1369" s="73"/>
      <c r="D1369" s="180" t="s">
        <v>311</v>
      </c>
      <c r="E1369" s="39">
        <v>43598</v>
      </c>
      <c r="F1369" s="179">
        <v>0.42708333333333331</v>
      </c>
      <c r="G1369" s="180">
        <v>8</v>
      </c>
      <c r="H1369" s="180" t="s">
        <v>337</v>
      </c>
      <c r="I1369" s="180" t="s">
        <v>550</v>
      </c>
      <c r="J1369" s="180"/>
      <c r="K1369" s="180"/>
      <c r="L1369" s="180"/>
      <c r="M1369" s="180"/>
      <c r="N1369" s="180"/>
      <c r="O1369" s="180"/>
      <c r="P1369" s="180"/>
    </row>
    <row r="1370" spans="1:16" x14ac:dyDescent="0.45">
      <c r="A1370" s="180" t="s">
        <v>8</v>
      </c>
      <c r="B1370" s="73">
        <v>13</v>
      </c>
      <c r="C1370" s="73">
        <v>13</v>
      </c>
      <c r="D1370" s="180" t="s">
        <v>318</v>
      </c>
      <c r="E1370" s="39">
        <v>43598</v>
      </c>
      <c r="F1370" s="179">
        <v>0.42708333333333331</v>
      </c>
      <c r="G1370" s="180">
        <v>3</v>
      </c>
      <c r="H1370" s="180" t="s">
        <v>472</v>
      </c>
      <c r="I1370" s="180"/>
      <c r="J1370" s="180"/>
      <c r="K1370" s="180"/>
      <c r="L1370" s="180"/>
      <c r="M1370" s="180"/>
      <c r="N1370" s="180"/>
      <c r="O1370" s="180"/>
      <c r="P1370" s="180"/>
    </row>
    <row r="1371" spans="1:16" x14ac:dyDescent="0.45">
      <c r="A1371" s="180" t="s">
        <v>8</v>
      </c>
      <c r="B1371" s="73">
        <v>13</v>
      </c>
      <c r="C1371" s="73"/>
      <c r="D1371" s="180" t="s">
        <v>318</v>
      </c>
      <c r="E1371" s="39">
        <v>43598</v>
      </c>
      <c r="F1371" s="179">
        <v>0.51041666666666663</v>
      </c>
      <c r="G1371" s="180">
        <v>3</v>
      </c>
      <c r="H1371" s="180" t="s">
        <v>316</v>
      </c>
      <c r="I1371" s="180"/>
      <c r="J1371" s="180"/>
      <c r="K1371" s="180"/>
      <c r="L1371" s="180"/>
      <c r="M1371" s="180"/>
      <c r="N1371" s="180"/>
      <c r="O1371" s="180"/>
      <c r="P1371" s="180"/>
    </row>
    <row r="1372" spans="1:16" x14ac:dyDescent="0.45">
      <c r="A1372" s="180" t="s">
        <v>8</v>
      </c>
      <c r="B1372" s="73">
        <v>3</v>
      </c>
      <c r="C1372" s="73">
        <v>3</v>
      </c>
      <c r="D1372" s="180" t="s">
        <v>278</v>
      </c>
      <c r="E1372" s="39">
        <v>43598</v>
      </c>
      <c r="F1372" s="179">
        <v>0.41666666666666669</v>
      </c>
      <c r="G1372" s="180">
        <v>1</v>
      </c>
      <c r="H1372" s="180" t="s">
        <v>298</v>
      </c>
      <c r="I1372" s="180"/>
      <c r="K1372" s="180"/>
      <c r="L1372" s="180"/>
      <c r="M1372" s="180"/>
      <c r="N1372" s="180"/>
      <c r="O1372" s="180"/>
      <c r="P1372" s="180"/>
    </row>
    <row r="1373" spans="1:16" x14ac:dyDescent="0.45">
      <c r="A1373" s="180" t="s">
        <v>8</v>
      </c>
      <c r="B1373" s="73">
        <v>2</v>
      </c>
      <c r="C1373" s="73">
        <v>2</v>
      </c>
      <c r="D1373" s="180" t="s">
        <v>281</v>
      </c>
      <c r="E1373" s="39">
        <v>43598</v>
      </c>
      <c r="F1373" s="179">
        <v>0.41666666666666669</v>
      </c>
      <c r="G1373" s="180">
        <v>4</v>
      </c>
      <c r="H1373" s="180" t="s">
        <v>513</v>
      </c>
      <c r="I1373" s="180"/>
      <c r="J1373" s="180"/>
      <c r="K1373" s="180"/>
      <c r="L1373" s="180"/>
      <c r="M1373" s="180"/>
      <c r="N1373" s="180"/>
      <c r="O1373" s="180"/>
      <c r="P1373" s="180"/>
    </row>
    <row r="1374" spans="1:16" x14ac:dyDescent="0.45">
      <c r="A1374" s="180" t="s">
        <v>8</v>
      </c>
      <c r="B1374" s="73">
        <v>2</v>
      </c>
      <c r="C1374" s="73"/>
      <c r="D1374" s="180" t="s">
        <v>281</v>
      </c>
      <c r="E1374" s="39">
        <v>43598</v>
      </c>
      <c r="F1374" s="179">
        <v>0.41666666666666669</v>
      </c>
      <c r="G1374" s="180">
        <v>5</v>
      </c>
      <c r="H1374" s="180" t="s">
        <v>551</v>
      </c>
      <c r="I1374" s="180" t="s">
        <v>550</v>
      </c>
      <c r="J1374" s="180"/>
      <c r="K1374" s="180"/>
      <c r="L1374" s="180"/>
      <c r="M1374" s="180"/>
      <c r="N1374" s="180"/>
      <c r="O1374" s="180"/>
      <c r="P1374" s="180"/>
    </row>
    <row r="1375" spans="1:16" x14ac:dyDescent="0.45">
      <c r="A1375" s="180" t="s">
        <v>8</v>
      </c>
      <c r="B1375" s="73">
        <v>2</v>
      </c>
      <c r="C1375" s="73">
        <v>2</v>
      </c>
      <c r="D1375" s="180" t="s">
        <v>306</v>
      </c>
      <c r="E1375" s="39">
        <v>43600</v>
      </c>
      <c r="F1375" s="179">
        <v>0.54861111111111105</v>
      </c>
      <c r="G1375" s="180">
        <v>2</v>
      </c>
      <c r="H1375" s="180"/>
      <c r="I1375" s="180"/>
      <c r="J1375" s="180"/>
      <c r="K1375" s="180"/>
      <c r="L1375" s="180"/>
      <c r="M1375" s="180"/>
      <c r="N1375" s="180"/>
      <c r="O1375" s="180"/>
      <c r="P1375" s="180"/>
    </row>
    <row r="1376" spans="1:16" x14ac:dyDescent="0.45">
      <c r="A1376" s="180" t="s">
        <v>8</v>
      </c>
      <c r="B1376" s="73">
        <v>7</v>
      </c>
      <c r="C1376" s="73">
        <v>7</v>
      </c>
      <c r="D1376" s="180" t="s">
        <v>338</v>
      </c>
      <c r="E1376" s="39">
        <v>43603</v>
      </c>
      <c r="F1376" s="179">
        <v>0.70833333333333337</v>
      </c>
      <c r="G1376" s="180">
        <v>2</v>
      </c>
      <c r="H1376" s="180" t="s">
        <v>339</v>
      </c>
      <c r="I1376" s="180"/>
      <c r="J1376" s="180"/>
      <c r="K1376" s="180"/>
      <c r="L1376" s="180"/>
      <c r="M1376" s="180"/>
      <c r="N1376" s="180"/>
      <c r="O1376" s="180"/>
      <c r="P1376" s="180"/>
    </row>
    <row r="1377" spans="1:16" x14ac:dyDescent="0.45">
      <c r="A1377" s="180" t="s">
        <v>8</v>
      </c>
      <c r="B1377" s="73">
        <v>7</v>
      </c>
      <c r="C1377" s="73"/>
      <c r="D1377" s="180" t="s">
        <v>318</v>
      </c>
      <c r="E1377" s="39">
        <v>43603</v>
      </c>
      <c r="F1377" s="179">
        <v>0.70833333333333337</v>
      </c>
      <c r="G1377" s="180">
        <v>2</v>
      </c>
      <c r="H1377" s="180" t="s">
        <v>272</v>
      </c>
      <c r="I1377" s="180"/>
      <c r="J1377" s="180"/>
      <c r="K1377" s="180"/>
      <c r="L1377" s="180"/>
      <c r="M1377" s="180"/>
      <c r="N1377" s="180"/>
      <c r="O1377" s="180"/>
      <c r="P1377" s="180"/>
    </row>
    <row r="1378" spans="1:16" x14ac:dyDescent="0.45">
      <c r="A1378" s="180" t="s">
        <v>8</v>
      </c>
      <c r="B1378" s="73">
        <v>2</v>
      </c>
      <c r="C1378" s="73"/>
      <c r="D1378" s="180" t="s">
        <v>281</v>
      </c>
      <c r="E1378" s="39">
        <v>43603</v>
      </c>
      <c r="F1378" s="179">
        <v>0.58333333333333337</v>
      </c>
      <c r="G1378" s="180">
        <v>1</v>
      </c>
      <c r="H1378" s="180" t="s">
        <v>300</v>
      </c>
      <c r="I1378" s="180"/>
      <c r="J1378" s="180"/>
      <c r="K1378" s="180"/>
      <c r="L1378" s="180"/>
      <c r="M1378" s="180"/>
      <c r="N1378" s="180"/>
      <c r="O1378" s="180"/>
      <c r="P1378" s="180"/>
    </row>
    <row r="1379" spans="1:16" x14ac:dyDescent="0.45">
      <c r="A1379" s="180" t="s">
        <v>8</v>
      </c>
      <c r="B1379" s="73">
        <v>4</v>
      </c>
      <c r="C1379" s="73">
        <v>4</v>
      </c>
      <c r="D1379" s="180" t="s">
        <v>306</v>
      </c>
      <c r="E1379" s="39">
        <v>43605</v>
      </c>
      <c r="F1379" s="179">
        <v>0.6020833333333333</v>
      </c>
      <c r="G1379" s="180">
        <v>1</v>
      </c>
      <c r="H1379" s="180"/>
      <c r="I1379" s="180"/>
      <c r="J1379" s="180"/>
      <c r="K1379" s="180"/>
      <c r="L1379" s="180"/>
      <c r="M1379" s="180"/>
      <c r="N1379" s="180"/>
      <c r="O1379" s="180"/>
      <c r="P1379" s="180"/>
    </row>
    <row r="1380" spans="1:16" x14ac:dyDescent="0.45">
      <c r="A1380" s="180" t="s">
        <v>8</v>
      </c>
      <c r="B1380" s="73">
        <v>1</v>
      </c>
      <c r="C1380" s="73">
        <v>1</v>
      </c>
      <c r="D1380" s="180" t="s">
        <v>315</v>
      </c>
      <c r="E1380" s="39">
        <v>43611</v>
      </c>
      <c r="F1380" s="179">
        <v>0.82500000000000007</v>
      </c>
      <c r="G1380" s="180">
        <v>1</v>
      </c>
      <c r="H1380" s="180"/>
      <c r="I1380" s="180"/>
      <c r="J1380" s="180"/>
      <c r="K1380" s="180"/>
      <c r="L1380" s="180"/>
      <c r="M1380" s="180"/>
      <c r="N1380" s="180"/>
      <c r="O1380" s="180"/>
      <c r="P1380" s="180"/>
    </row>
    <row r="1381" spans="1:16" x14ac:dyDescent="0.45">
      <c r="A1381" s="1" t="s">
        <v>273</v>
      </c>
      <c r="B1381" s="73"/>
      <c r="C1381" s="73">
        <f>SUM(C1335:C1380)</f>
        <v>61</v>
      </c>
      <c r="D1381" s="180"/>
      <c r="E1381" s="39"/>
      <c r="F1381" s="179"/>
      <c r="G1381" s="180"/>
      <c r="H1381" s="180"/>
      <c r="I1381" s="180"/>
      <c r="J1381" s="180"/>
      <c r="K1381" s="180"/>
      <c r="L1381" s="180"/>
      <c r="M1381" s="180"/>
      <c r="N1381" s="180"/>
      <c r="O1381" s="180"/>
      <c r="P1381" s="180"/>
    </row>
    <row r="1382" spans="1:16" x14ac:dyDescent="0.45">
      <c r="A1382" s="180"/>
      <c r="B1382" s="73"/>
      <c r="C1382" s="73"/>
      <c r="D1382" s="180"/>
      <c r="E1382" s="39"/>
      <c r="F1382" s="179"/>
      <c r="G1382" s="180"/>
      <c r="H1382" s="180"/>
      <c r="I1382" s="180"/>
      <c r="J1382" s="180"/>
      <c r="K1382" s="180"/>
      <c r="L1382" s="180"/>
      <c r="M1382" s="180"/>
      <c r="N1382" s="180"/>
      <c r="O1382" s="180"/>
      <c r="P1382" s="180"/>
    </row>
    <row r="1383" spans="1:16" x14ac:dyDescent="0.45">
      <c r="A1383" s="180" t="s">
        <v>11</v>
      </c>
      <c r="B1383" s="73">
        <v>6</v>
      </c>
      <c r="C1383" s="73"/>
      <c r="D1383" s="180" t="s">
        <v>353</v>
      </c>
      <c r="E1383" s="39">
        <v>43585</v>
      </c>
      <c r="F1383" s="179">
        <v>0.56111111111111112</v>
      </c>
      <c r="G1383" s="180">
        <v>1</v>
      </c>
      <c r="H1383" s="180" t="s">
        <v>354</v>
      </c>
      <c r="I1383" s="180" t="s">
        <v>377</v>
      </c>
      <c r="J1383" s="180"/>
      <c r="K1383" s="180"/>
      <c r="L1383" s="180"/>
      <c r="M1383" s="180"/>
      <c r="N1383" s="180"/>
      <c r="O1383" s="180"/>
      <c r="P1383" s="180"/>
    </row>
    <row r="1384" spans="1:16" x14ac:dyDescent="0.45">
      <c r="A1384" s="180" t="s">
        <v>11</v>
      </c>
      <c r="B1384" s="73">
        <v>12</v>
      </c>
      <c r="C1384" s="73">
        <v>12</v>
      </c>
      <c r="D1384" s="180" t="s">
        <v>128</v>
      </c>
      <c r="E1384" s="39">
        <v>43585</v>
      </c>
      <c r="F1384" s="179">
        <v>0.54097222222222219</v>
      </c>
      <c r="G1384" s="180">
        <v>1</v>
      </c>
      <c r="H1384" s="180"/>
      <c r="I1384" s="180"/>
      <c r="J1384" s="180"/>
      <c r="K1384" s="180"/>
      <c r="L1384" s="180"/>
      <c r="M1384" s="180"/>
      <c r="N1384" s="180"/>
      <c r="O1384" s="180"/>
      <c r="P1384" s="180"/>
    </row>
    <row r="1385" spans="1:16" x14ac:dyDescent="0.45">
      <c r="A1385" s="180" t="s">
        <v>11</v>
      </c>
      <c r="B1385" s="73">
        <v>8</v>
      </c>
      <c r="C1385" s="73"/>
      <c r="D1385" s="180" t="s">
        <v>309</v>
      </c>
      <c r="E1385" s="39">
        <v>43585</v>
      </c>
      <c r="F1385" s="179">
        <v>0.42777777777777781</v>
      </c>
      <c r="G1385" s="180">
        <v>2</v>
      </c>
      <c r="H1385" s="180"/>
      <c r="I1385" s="180"/>
      <c r="J1385" s="180"/>
      <c r="K1385" s="180"/>
      <c r="L1385" s="180"/>
      <c r="M1385" s="180"/>
      <c r="N1385" s="180"/>
      <c r="O1385" s="180"/>
      <c r="P1385" s="180"/>
    </row>
    <row r="1386" spans="1:16" x14ac:dyDescent="0.45">
      <c r="A1386" s="180" t="s">
        <v>11</v>
      </c>
      <c r="B1386" s="73">
        <v>5</v>
      </c>
      <c r="C1386" s="73"/>
      <c r="D1386" s="180" t="s">
        <v>309</v>
      </c>
      <c r="E1386" s="39">
        <v>43585</v>
      </c>
      <c r="F1386" s="179">
        <v>0.59930555555555554</v>
      </c>
      <c r="G1386" s="180">
        <v>2</v>
      </c>
      <c r="H1386" s="180"/>
      <c r="I1386" s="180"/>
      <c r="J1386" s="180"/>
      <c r="K1386" s="180"/>
      <c r="L1386" s="180"/>
      <c r="M1386" s="180"/>
      <c r="N1386" s="180"/>
      <c r="O1386" s="180"/>
      <c r="P1386" s="180"/>
    </row>
    <row r="1387" spans="1:16" x14ac:dyDescent="0.45">
      <c r="A1387" s="180" t="s">
        <v>11</v>
      </c>
      <c r="B1387" s="73">
        <v>4</v>
      </c>
      <c r="C1387" s="73"/>
      <c r="D1387" s="180" t="s">
        <v>128</v>
      </c>
      <c r="E1387" s="39">
        <v>43588</v>
      </c>
      <c r="F1387" s="179">
        <v>0.68125000000000002</v>
      </c>
      <c r="G1387" s="180">
        <v>4</v>
      </c>
      <c r="H1387" s="180" t="s">
        <v>310</v>
      </c>
      <c r="I1387" s="180"/>
      <c r="J1387" s="180"/>
      <c r="K1387" s="180"/>
      <c r="L1387" s="180"/>
      <c r="M1387" s="180"/>
      <c r="N1387" s="180"/>
      <c r="O1387" s="180"/>
      <c r="P1387" s="180"/>
    </row>
    <row r="1388" spans="1:16" x14ac:dyDescent="0.45">
      <c r="A1388" s="180" t="s">
        <v>11</v>
      </c>
      <c r="B1388" s="73">
        <v>250</v>
      </c>
      <c r="C1388" s="73">
        <v>250</v>
      </c>
      <c r="D1388" s="180" t="s">
        <v>311</v>
      </c>
      <c r="E1388" s="39">
        <v>43588</v>
      </c>
      <c r="F1388" s="179">
        <v>0.67708333333333337</v>
      </c>
      <c r="G1388" s="180">
        <v>9</v>
      </c>
      <c r="H1388" s="180" t="s">
        <v>312</v>
      </c>
      <c r="I1388" s="180"/>
      <c r="J1388" s="180"/>
      <c r="K1388" s="180"/>
      <c r="L1388" s="180"/>
      <c r="M1388" s="180"/>
      <c r="N1388" s="180"/>
      <c r="O1388" s="180"/>
      <c r="P1388" s="180"/>
    </row>
    <row r="1389" spans="1:16" x14ac:dyDescent="0.45">
      <c r="A1389" s="180" t="s">
        <v>11</v>
      </c>
      <c r="B1389" s="73">
        <v>93</v>
      </c>
      <c r="C1389" s="73">
        <v>93</v>
      </c>
      <c r="D1389" s="180" t="s">
        <v>309</v>
      </c>
      <c r="E1389" s="39">
        <v>43588</v>
      </c>
      <c r="F1389" s="179">
        <v>0.67708333333333337</v>
      </c>
      <c r="G1389" s="180">
        <v>3</v>
      </c>
      <c r="H1389" s="180" t="s">
        <v>312</v>
      </c>
      <c r="I1389" s="180"/>
      <c r="J1389" s="180"/>
      <c r="K1389" s="180"/>
      <c r="L1389" s="180"/>
      <c r="M1389" s="180"/>
      <c r="N1389" s="180"/>
      <c r="O1389" s="180"/>
      <c r="P1389" s="180"/>
    </row>
    <row r="1390" spans="1:16" x14ac:dyDescent="0.45">
      <c r="A1390" s="180" t="s">
        <v>11</v>
      </c>
      <c r="B1390" s="73">
        <v>40</v>
      </c>
      <c r="C1390" s="73"/>
      <c r="D1390" s="180" t="s">
        <v>309</v>
      </c>
      <c r="E1390" s="39">
        <v>43588</v>
      </c>
      <c r="F1390" s="179">
        <v>0.71527777777777779</v>
      </c>
      <c r="G1390" s="180">
        <v>1</v>
      </c>
      <c r="H1390" s="180"/>
      <c r="I1390" s="180" t="s">
        <v>552</v>
      </c>
      <c r="J1390" s="180"/>
      <c r="K1390" s="180"/>
      <c r="L1390" s="180"/>
      <c r="M1390" s="180"/>
      <c r="N1390" s="180"/>
      <c r="O1390" s="180"/>
      <c r="P1390" s="180"/>
    </row>
    <row r="1391" spans="1:16" x14ac:dyDescent="0.45">
      <c r="A1391" s="180" t="s">
        <v>11</v>
      </c>
      <c r="B1391" s="73">
        <v>5</v>
      </c>
      <c r="C1391" s="73"/>
      <c r="D1391" s="180" t="s">
        <v>309</v>
      </c>
      <c r="E1391" s="39">
        <v>43589</v>
      </c>
      <c r="F1391" s="179">
        <v>0.65347222222222223</v>
      </c>
      <c r="G1391" s="180">
        <v>1</v>
      </c>
      <c r="H1391" s="180"/>
      <c r="I1391" s="180"/>
      <c r="J1391" s="180"/>
      <c r="K1391" s="180"/>
      <c r="L1391" s="180"/>
      <c r="M1391" s="180"/>
      <c r="N1391" s="180"/>
      <c r="O1391" s="180"/>
      <c r="P1391" s="180"/>
    </row>
    <row r="1392" spans="1:16" x14ac:dyDescent="0.45">
      <c r="A1392" s="180" t="s">
        <v>11</v>
      </c>
      <c r="B1392" s="73">
        <v>23</v>
      </c>
      <c r="C1392" s="73">
        <v>23</v>
      </c>
      <c r="D1392" s="180" t="s">
        <v>372</v>
      </c>
      <c r="E1392" s="39">
        <v>43589</v>
      </c>
      <c r="F1392" s="179">
        <v>0.71388888888888891</v>
      </c>
      <c r="G1392" s="180">
        <v>1</v>
      </c>
      <c r="H1392" s="180"/>
      <c r="I1392" s="180"/>
      <c r="J1392" s="180"/>
      <c r="K1392" s="180"/>
      <c r="L1392" s="180"/>
      <c r="M1392" s="180"/>
      <c r="N1392" s="180"/>
      <c r="O1392" s="180"/>
      <c r="P1392" s="180"/>
    </row>
    <row r="1393" spans="1:16" x14ac:dyDescent="0.45">
      <c r="A1393" s="180" t="s">
        <v>11</v>
      </c>
      <c r="B1393" s="73">
        <v>6</v>
      </c>
      <c r="C1393" s="73"/>
      <c r="D1393" s="180" t="s">
        <v>128</v>
      </c>
      <c r="E1393" s="39">
        <v>43590</v>
      </c>
      <c r="F1393" s="179">
        <v>0.54027777777777775</v>
      </c>
      <c r="G1393" s="180">
        <v>1</v>
      </c>
      <c r="H1393" s="180"/>
      <c r="I1393" s="180"/>
      <c r="J1393" s="180"/>
      <c r="K1393" s="180"/>
      <c r="L1393" s="180"/>
      <c r="M1393" s="180"/>
      <c r="N1393" s="180"/>
      <c r="O1393" s="180"/>
      <c r="P1393" s="180"/>
    </row>
    <row r="1394" spans="1:16" x14ac:dyDescent="0.45">
      <c r="A1394" s="180" t="s">
        <v>11</v>
      </c>
      <c r="B1394" s="73">
        <v>15</v>
      </c>
      <c r="C1394" s="73">
        <v>15</v>
      </c>
      <c r="D1394" s="180" t="s">
        <v>128</v>
      </c>
      <c r="E1394" s="39">
        <v>43590</v>
      </c>
      <c r="F1394" s="179">
        <v>0.54861111111111105</v>
      </c>
      <c r="G1394" s="180">
        <v>2</v>
      </c>
      <c r="H1394" s="180"/>
      <c r="I1394" s="180"/>
      <c r="J1394" s="180"/>
      <c r="K1394" s="180"/>
      <c r="L1394" s="180"/>
      <c r="M1394" s="180"/>
      <c r="N1394" s="180"/>
      <c r="O1394" s="180"/>
      <c r="P1394" s="180"/>
    </row>
    <row r="1395" spans="1:16" x14ac:dyDescent="0.45">
      <c r="A1395" s="180" t="s">
        <v>11</v>
      </c>
      <c r="B1395" s="73">
        <v>3</v>
      </c>
      <c r="C1395" s="73">
        <v>3</v>
      </c>
      <c r="D1395" s="180" t="s">
        <v>317</v>
      </c>
      <c r="E1395" s="39">
        <v>43590</v>
      </c>
      <c r="F1395" s="179">
        <v>0.65</v>
      </c>
      <c r="G1395" s="180">
        <v>1</v>
      </c>
      <c r="H1395" s="180"/>
      <c r="I1395" s="180"/>
      <c r="J1395" s="180"/>
      <c r="K1395" s="180"/>
      <c r="L1395" s="180"/>
      <c r="M1395" s="180"/>
      <c r="N1395" s="180"/>
      <c r="O1395" s="180"/>
      <c r="P1395" s="180"/>
    </row>
    <row r="1396" spans="1:16" x14ac:dyDescent="0.45">
      <c r="A1396" s="180" t="s">
        <v>11</v>
      </c>
      <c r="B1396" s="73">
        <v>146</v>
      </c>
      <c r="C1396" s="73"/>
      <c r="D1396" s="180" t="s">
        <v>434</v>
      </c>
      <c r="E1396" s="39">
        <v>43593</v>
      </c>
      <c r="F1396" s="179">
        <v>0.58958333333333335</v>
      </c>
      <c r="G1396" s="180">
        <v>3</v>
      </c>
      <c r="H1396" s="180" t="s">
        <v>435</v>
      </c>
      <c r="I1396" s="180"/>
      <c r="J1396" s="180"/>
      <c r="K1396" s="180"/>
      <c r="L1396" s="180"/>
      <c r="M1396" s="180"/>
      <c r="N1396" s="180"/>
      <c r="O1396" s="180"/>
      <c r="P1396" s="180"/>
    </row>
    <row r="1397" spans="1:16" x14ac:dyDescent="0.45">
      <c r="A1397" s="180" t="s">
        <v>11</v>
      </c>
      <c r="B1397" s="73">
        <v>13</v>
      </c>
      <c r="C1397" s="73"/>
      <c r="D1397" s="180" t="s">
        <v>317</v>
      </c>
      <c r="E1397" s="39">
        <v>43593</v>
      </c>
      <c r="F1397" s="179">
        <v>0.71597222222222223</v>
      </c>
      <c r="G1397" s="180">
        <v>2</v>
      </c>
      <c r="H1397" s="180"/>
      <c r="I1397" s="180"/>
      <c r="J1397" s="180"/>
      <c r="K1397" s="180"/>
      <c r="L1397" s="180"/>
      <c r="M1397" s="180"/>
      <c r="N1397" s="180"/>
      <c r="O1397" s="180"/>
      <c r="P1397" s="180"/>
    </row>
    <row r="1398" spans="1:16" x14ac:dyDescent="0.45">
      <c r="A1398" s="180" t="s">
        <v>11</v>
      </c>
      <c r="B1398" s="73">
        <v>350</v>
      </c>
      <c r="C1398" s="73"/>
      <c r="D1398" s="180" t="s">
        <v>317</v>
      </c>
      <c r="E1398" s="39">
        <v>43593</v>
      </c>
      <c r="F1398" s="179">
        <v>0.79722222222222217</v>
      </c>
      <c r="G1398" s="180">
        <v>7</v>
      </c>
      <c r="H1398" s="180"/>
      <c r="I1398" s="180"/>
      <c r="J1398" s="180"/>
      <c r="K1398" s="180"/>
      <c r="L1398" s="180"/>
      <c r="M1398" s="180"/>
      <c r="N1398" s="180"/>
      <c r="O1398" s="180"/>
      <c r="P1398" s="180"/>
    </row>
    <row r="1399" spans="1:16" x14ac:dyDescent="0.45">
      <c r="A1399" s="180" t="s">
        <v>11</v>
      </c>
      <c r="B1399" s="73">
        <v>13</v>
      </c>
      <c r="C1399" s="73"/>
      <c r="D1399" s="180" t="s">
        <v>317</v>
      </c>
      <c r="E1399" s="39">
        <v>43593</v>
      </c>
      <c r="F1399" s="179">
        <v>0.71597222222222223</v>
      </c>
      <c r="G1399" s="180">
        <v>2</v>
      </c>
      <c r="H1399" s="180"/>
      <c r="I1399" s="180"/>
      <c r="J1399" s="180"/>
      <c r="K1399" s="180"/>
      <c r="L1399" s="180"/>
      <c r="M1399" s="180"/>
      <c r="N1399" s="180"/>
      <c r="O1399" s="180"/>
      <c r="P1399" s="180"/>
    </row>
    <row r="1400" spans="1:16" x14ac:dyDescent="0.45">
      <c r="A1400" s="180" t="s">
        <v>11</v>
      </c>
      <c r="B1400" s="73">
        <v>13</v>
      </c>
      <c r="C1400" s="73"/>
      <c r="D1400" s="180" t="s">
        <v>317</v>
      </c>
      <c r="E1400" s="39">
        <v>43593</v>
      </c>
      <c r="F1400" s="179">
        <v>0.71597222222222223</v>
      </c>
      <c r="G1400" s="180">
        <v>2</v>
      </c>
      <c r="H1400" s="180"/>
      <c r="I1400" s="180"/>
      <c r="J1400" s="180"/>
      <c r="K1400" s="180"/>
      <c r="L1400" s="180"/>
      <c r="M1400" s="180"/>
      <c r="N1400" s="180"/>
      <c r="O1400" s="180"/>
      <c r="P1400" s="180"/>
    </row>
    <row r="1401" spans="1:16" x14ac:dyDescent="0.45">
      <c r="A1401" s="180" t="s">
        <v>11</v>
      </c>
      <c r="B1401" s="73">
        <v>90</v>
      </c>
      <c r="C1401" s="73"/>
      <c r="D1401" s="180" t="s">
        <v>332</v>
      </c>
      <c r="E1401" s="39">
        <v>43593</v>
      </c>
      <c r="F1401" s="179">
        <v>0.80208333333333337</v>
      </c>
      <c r="G1401" s="180">
        <v>4</v>
      </c>
      <c r="H1401" s="180" t="s">
        <v>280</v>
      </c>
      <c r="I1401" s="180"/>
      <c r="J1401" s="180"/>
      <c r="K1401" s="180"/>
      <c r="L1401" s="180"/>
      <c r="M1401" s="180"/>
      <c r="N1401" s="180"/>
      <c r="O1401" s="180"/>
      <c r="P1401" s="180"/>
    </row>
    <row r="1402" spans="1:16" x14ac:dyDescent="0.45">
      <c r="A1402" s="180" t="s">
        <v>11</v>
      </c>
      <c r="B1402" s="73">
        <v>500</v>
      </c>
      <c r="C1402" s="73">
        <v>500</v>
      </c>
      <c r="D1402" s="180" t="s">
        <v>311</v>
      </c>
      <c r="E1402" s="39">
        <v>43593</v>
      </c>
      <c r="F1402" s="179">
        <v>0.80208333333333337</v>
      </c>
      <c r="G1402" s="180">
        <v>7</v>
      </c>
      <c r="H1402" s="180" t="s">
        <v>280</v>
      </c>
      <c r="I1402" s="180"/>
      <c r="J1402" s="180"/>
      <c r="K1402" s="180"/>
      <c r="L1402" s="180"/>
      <c r="M1402" s="180"/>
      <c r="N1402" s="180"/>
      <c r="O1402" s="180"/>
      <c r="P1402" s="180"/>
    </row>
    <row r="1403" spans="1:16" x14ac:dyDescent="0.45">
      <c r="A1403" s="180" t="s">
        <v>11</v>
      </c>
      <c r="B1403" s="73">
        <v>1032</v>
      </c>
      <c r="C1403" s="73">
        <v>1032</v>
      </c>
      <c r="D1403" s="180" t="s">
        <v>309</v>
      </c>
      <c r="E1403" s="39">
        <v>43593</v>
      </c>
      <c r="F1403" s="179">
        <v>0.80208333333333337</v>
      </c>
      <c r="G1403" s="180">
        <v>5</v>
      </c>
      <c r="H1403" s="180"/>
      <c r="I1403" s="180" t="s">
        <v>553</v>
      </c>
      <c r="K1403" s="180"/>
      <c r="L1403" s="180"/>
      <c r="M1403" s="180"/>
      <c r="N1403" s="180"/>
      <c r="O1403" s="180"/>
      <c r="P1403" s="180"/>
    </row>
    <row r="1404" spans="1:16" x14ac:dyDescent="0.45">
      <c r="A1404" s="180" t="s">
        <v>11</v>
      </c>
      <c r="B1404" s="73">
        <v>1000</v>
      </c>
      <c r="C1404" s="73"/>
      <c r="D1404" s="180" t="s">
        <v>309</v>
      </c>
      <c r="E1404" s="39">
        <v>43593</v>
      </c>
      <c r="F1404" s="179">
        <v>0.55208333333333337</v>
      </c>
      <c r="G1404" s="180">
        <v>1</v>
      </c>
      <c r="H1404" s="180"/>
      <c r="I1404" s="180"/>
      <c r="J1404" s="180"/>
      <c r="K1404" s="180"/>
      <c r="L1404" s="180"/>
      <c r="M1404" s="180"/>
      <c r="N1404" s="180"/>
      <c r="O1404" s="180"/>
      <c r="P1404" s="180"/>
    </row>
    <row r="1405" spans="1:16" s="180" customFormat="1" x14ac:dyDescent="0.45">
      <c r="A1405" s="180" t="s">
        <v>11</v>
      </c>
      <c r="B1405" s="73">
        <v>4</v>
      </c>
      <c r="C1405" s="73"/>
      <c r="D1405" s="180" t="s">
        <v>271</v>
      </c>
      <c r="E1405" s="39">
        <v>43593</v>
      </c>
      <c r="F1405" s="179"/>
    </row>
    <row r="1406" spans="1:16" x14ac:dyDescent="0.45">
      <c r="A1406" s="180" t="s">
        <v>11</v>
      </c>
      <c r="B1406" s="73">
        <v>56</v>
      </c>
      <c r="C1406" s="73">
        <v>56</v>
      </c>
      <c r="D1406" s="180" t="s">
        <v>271</v>
      </c>
      <c r="E1406" s="39">
        <v>43593</v>
      </c>
      <c r="F1406" s="179">
        <v>0.46875</v>
      </c>
      <c r="G1406" s="180">
        <v>1</v>
      </c>
      <c r="H1406" s="180"/>
      <c r="I1406" s="180"/>
      <c r="J1406" s="180"/>
      <c r="K1406" s="180"/>
      <c r="L1406" s="180"/>
      <c r="M1406" s="180"/>
      <c r="N1406" s="180"/>
      <c r="O1406" s="180"/>
      <c r="P1406" s="180"/>
    </row>
    <row r="1407" spans="1:16" x14ac:dyDescent="0.45">
      <c r="A1407" s="180" t="s">
        <v>11</v>
      </c>
      <c r="B1407" s="73">
        <v>15</v>
      </c>
      <c r="C1407" s="73"/>
      <c r="D1407" s="180" t="s">
        <v>271</v>
      </c>
      <c r="E1407" s="39">
        <v>43593</v>
      </c>
      <c r="F1407" s="179">
        <v>0.50416666666666665</v>
      </c>
      <c r="G1407" s="180">
        <v>1</v>
      </c>
      <c r="H1407" s="180"/>
      <c r="I1407" s="180"/>
      <c r="J1407" s="180"/>
      <c r="K1407" s="180"/>
      <c r="L1407" s="180"/>
      <c r="M1407" s="180"/>
      <c r="N1407" s="180"/>
      <c r="O1407" s="180"/>
      <c r="P1407" s="180"/>
    </row>
    <row r="1408" spans="1:16" x14ac:dyDescent="0.45">
      <c r="A1408" s="180" t="s">
        <v>11</v>
      </c>
      <c r="B1408" s="73">
        <v>18</v>
      </c>
      <c r="C1408" s="73">
        <v>18</v>
      </c>
      <c r="D1408" s="180" t="s">
        <v>281</v>
      </c>
      <c r="E1408" s="39">
        <v>43593</v>
      </c>
      <c r="F1408" s="179">
        <v>0.41666666666666669</v>
      </c>
      <c r="G1408" s="180">
        <v>4</v>
      </c>
      <c r="H1408" s="180"/>
      <c r="I1408" s="180"/>
      <c r="J1408" s="180"/>
      <c r="K1408" s="180"/>
      <c r="L1408" s="180"/>
      <c r="M1408" s="180"/>
      <c r="N1408" s="180"/>
      <c r="O1408" s="180"/>
      <c r="P1408" s="180"/>
    </row>
    <row r="1409" spans="1:16" x14ac:dyDescent="0.45">
      <c r="A1409" s="180" t="s">
        <v>11</v>
      </c>
      <c r="B1409" s="73">
        <v>18</v>
      </c>
      <c r="C1409" s="73"/>
      <c r="D1409" s="180" t="s">
        <v>281</v>
      </c>
      <c r="E1409" s="39">
        <v>43593</v>
      </c>
      <c r="F1409" s="179">
        <v>0.41666666666666669</v>
      </c>
      <c r="G1409" s="180">
        <v>4</v>
      </c>
      <c r="H1409" s="180"/>
      <c r="I1409" s="180"/>
      <c r="J1409" s="180"/>
      <c r="K1409" s="180"/>
      <c r="L1409" s="180"/>
      <c r="M1409" s="180"/>
      <c r="N1409" s="180"/>
      <c r="O1409" s="180"/>
      <c r="P1409" s="180"/>
    </row>
    <row r="1410" spans="1:16" x14ac:dyDescent="0.45">
      <c r="A1410" s="180" t="s">
        <v>11</v>
      </c>
      <c r="B1410" s="73">
        <v>18</v>
      </c>
      <c r="C1410" s="73"/>
      <c r="D1410" s="180" t="s">
        <v>281</v>
      </c>
      <c r="E1410" s="39">
        <v>43593</v>
      </c>
      <c r="F1410" s="179">
        <v>0.41666666666666669</v>
      </c>
      <c r="G1410" s="180">
        <v>4</v>
      </c>
      <c r="H1410" s="180"/>
      <c r="I1410" s="180"/>
      <c r="J1410" s="180"/>
      <c r="K1410" s="180"/>
      <c r="L1410" s="180"/>
      <c r="M1410" s="180"/>
      <c r="N1410" s="180"/>
      <c r="O1410" s="180"/>
      <c r="P1410" s="180"/>
    </row>
    <row r="1411" spans="1:16" x14ac:dyDescent="0.45">
      <c r="A1411" s="180" t="s">
        <v>11</v>
      </c>
      <c r="B1411" s="73">
        <v>35</v>
      </c>
      <c r="C1411" s="73">
        <v>35</v>
      </c>
      <c r="D1411" s="180" t="s">
        <v>422</v>
      </c>
      <c r="E1411" s="39">
        <v>43593</v>
      </c>
      <c r="F1411" s="179">
        <v>0.27083333333333331</v>
      </c>
      <c r="G1411" s="180">
        <v>1</v>
      </c>
      <c r="H1411" s="180" t="s">
        <v>438</v>
      </c>
      <c r="I1411" s="180"/>
      <c r="J1411" s="180"/>
      <c r="K1411" s="180"/>
      <c r="L1411" s="180"/>
      <c r="M1411" s="180"/>
      <c r="N1411" s="180"/>
      <c r="O1411" s="180"/>
      <c r="P1411" s="180"/>
    </row>
    <row r="1412" spans="1:16" x14ac:dyDescent="0.45">
      <c r="A1412" s="180" t="s">
        <v>11</v>
      </c>
      <c r="B1412" s="73">
        <v>35</v>
      </c>
      <c r="C1412" s="73"/>
      <c r="D1412" s="180" t="s">
        <v>422</v>
      </c>
      <c r="E1412" s="39">
        <v>43593</v>
      </c>
      <c r="F1412" s="179">
        <v>0.27083333333333331</v>
      </c>
      <c r="G1412" s="180">
        <v>1</v>
      </c>
      <c r="H1412" s="180" t="s">
        <v>438</v>
      </c>
      <c r="I1412" s="180"/>
      <c r="J1412" s="180"/>
      <c r="K1412" s="180"/>
      <c r="L1412" s="180"/>
      <c r="M1412" s="180"/>
      <c r="N1412" s="180"/>
      <c r="O1412" s="180"/>
      <c r="P1412" s="180"/>
    </row>
    <row r="1413" spans="1:16" x14ac:dyDescent="0.45">
      <c r="A1413" s="180" t="s">
        <v>11</v>
      </c>
      <c r="B1413" s="73">
        <v>24</v>
      </c>
      <c r="C1413" s="73"/>
      <c r="D1413" s="180" t="s">
        <v>439</v>
      </c>
      <c r="E1413" s="39">
        <v>43594</v>
      </c>
      <c r="F1413" s="179">
        <v>0.27638888888888885</v>
      </c>
      <c r="G1413" s="180">
        <v>1</v>
      </c>
      <c r="H1413" s="180"/>
      <c r="I1413" s="180" t="s">
        <v>554</v>
      </c>
      <c r="J1413" s="180"/>
      <c r="K1413" s="180"/>
      <c r="L1413" s="180"/>
      <c r="M1413" s="180"/>
      <c r="N1413" s="180"/>
      <c r="O1413" s="180"/>
      <c r="P1413" s="180"/>
    </row>
    <row r="1414" spans="1:16" x14ac:dyDescent="0.45">
      <c r="A1414" s="180" t="s">
        <v>11</v>
      </c>
      <c r="B1414" s="73">
        <v>250</v>
      </c>
      <c r="C1414" s="73">
        <v>250</v>
      </c>
      <c r="D1414" s="180" t="s">
        <v>555</v>
      </c>
      <c r="E1414" s="39">
        <v>43594</v>
      </c>
      <c r="F1414" s="179">
        <v>0.44027777777777777</v>
      </c>
      <c r="G1414" s="180">
        <v>1</v>
      </c>
      <c r="H1414" s="180"/>
      <c r="I1414" s="180"/>
      <c r="J1414" s="180"/>
      <c r="K1414" s="180"/>
      <c r="L1414" s="180"/>
      <c r="M1414" s="180"/>
      <c r="N1414" s="180"/>
      <c r="O1414" s="180"/>
      <c r="P1414" s="180"/>
    </row>
    <row r="1415" spans="1:16" x14ac:dyDescent="0.45">
      <c r="A1415" s="180" t="s">
        <v>11</v>
      </c>
      <c r="B1415" s="73">
        <v>40</v>
      </c>
      <c r="C1415" s="73"/>
      <c r="D1415" s="180" t="s">
        <v>128</v>
      </c>
      <c r="E1415" s="39">
        <v>43594</v>
      </c>
      <c r="F1415" s="179">
        <v>0.70833333333333337</v>
      </c>
      <c r="G1415" s="180">
        <v>3</v>
      </c>
      <c r="H1415" s="180"/>
      <c r="I1415" s="180"/>
      <c r="J1415" s="180"/>
      <c r="K1415" s="180"/>
      <c r="L1415" s="180"/>
      <c r="M1415" s="180"/>
      <c r="N1415" s="180"/>
      <c r="O1415" s="180"/>
      <c r="P1415" s="180"/>
    </row>
    <row r="1416" spans="1:16" x14ac:dyDescent="0.45">
      <c r="A1416" s="180" t="s">
        <v>11</v>
      </c>
      <c r="B1416" s="73">
        <v>5</v>
      </c>
      <c r="C1416" s="73"/>
      <c r="D1416" s="180" t="s">
        <v>332</v>
      </c>
      <c r="E1416" s="39">
        <v>43594</v>
      </c>
      <c r="F1416" s="179">
        <v>0.80763888888888891</v>
      </c>
      <c r="G1416" s="180">
        <v>1</v>
      </c>
      <c r="H1416" s="180" t="s">
        <v>464</v>
      </c>
      <c r="I1416" s="180"/>
      <c r="J1416" s="180"/>
      <c r="K1416" s="180"/>
      <c r="L1416" s="180"/>
      <c r="M1416" s="180"/>
      <c r="N1416" s="180"/>
      <c r="O1416" s="180"/>
      <c r="P1416" s="180"/>
    </row>
    <row r="1417" spans="1:16" x14ac:dyDescent="0.45">
      <c r="A1417" s="180" t="s">
        <v>11</v>
      </c>
      <c r="B1417" s="73">
        <v>50</v>
      </c>
      <c r="C1417" s="73"/>
      <c r="D1417" s="180" t="s">
        <v>309</v>
      </c>
      <c r="E1417" s="39">
        <v>43594</v>
      </c>
      <c r="F1417" s="179">
        <v>0.77777777777777779</v>
      </c>
      <c r="G1417" s="180">
        <v>1</v>
      </c>
      <c r="H1417" s="180"/>
      <c r="I1417" s="180"/>
      <c r="J1417" s="180"/>
      <c r="K1417" s="180"/>
      <c r="L1417" s="180"/>
      <c r="M1417" s="180"/>
      <c r="N1417" s="180"/>
      <c r="O1417" s="180"/>
      <c r="P1417" s="180"/>
    </row>
    <row r="1418" spans="1:16" x14ac:dyDescent="0.45">
      <c r="A1418" s="180" t="s">
        <v>11</v>
      </c>
      <c r="B1418" s="73">
        <v>18</v>
      </c>
      <c r="C1418" s="73"/>
      <c r="D1418" s="180" t="s">
        <v>309</v>
      </c>
      <c r="E1418" s="39">
        <v>43594</v>
      </c>
      <c r="F1418" s="179">
        <v>0.80208333333333337</v>
      </c>
      <c r="G1418" s="180">
        <v>1</v>
      </c>
      <c r="H1418" s="180"/>
      <c r="I1418" s="180"/>
      <c r="J1418" s="180"/>
      <c r="K1418" s="180"/>
      <c r="L1418" s="180"/>
      <c r="M1418" s="180"/>
      <c r="N1418" s="180"/>
      <c r="O1418" s="180"/>
      <c r="P1418" s="180"/>
    </row>
    <row r="1419" spans="1:16" x14ac:dyDescent="0.45">
      <c r="A1419" s="180" t="s">
        <v>11</v>
      </c>
      <c r="B1419" s="73">
        <v>25</v>
      </c>
      <c r="C1419" s="73">
        <v>25</v>
      </c>
      <c r="D1419" s="180" t="s">
        <v>376</v>
      </c>
      <c r="E1419" s="39">
        <v>43594</v>
      </c>
      <c r="F1419" s="179">
        <v>0.33749999999999997</v>
      </c>
      <c r="G1419" s="180">
        <v>2</v>
      </c>
      <c r="H1419" s="180"/>
      <c r="I1419" s="180"/>
      <c r="J1419" s="180"/>
      <c r="K1419" s="180"/>
      <c r="L1419" s="180"/>
      <c r="M1419" s="180"/>
      <c r="N1419" s="180"/>
      <c r="O1419" s="180"/>
      <c r="P1419" s="180"/>
    </row>
    <row r="1420" spans="1:16" x14ac:dyDescent="0.45">
      <c r="A1420" s="180" t="s">
        <v>11</v>
      </c>
      <c r="B1420" s="73">
        <v>1</v>
      </c>
      <c r="C1420" s="73"/>
      <c r="D1420" s="180" t="s">
        <v>296</v>
      </c>
      <c r="E1420" s="39">
        <v>43594</v>
      </c>
      <c r="F1420" s="179">
        <v>0.71180555555555547</v>
      </c>
      <c r="G1420" s="180">
        <v>12</v>
      </c>
      <c r="H1420" s="180" t="s">
        <v>440</v>
      </c>
      <c r="I1420" s="180"/>
      <c r="J1420" s="180"/>
      <c r="K1420" s="180"/>
      <c r="L1420" s="180"/>
      <c r="M1420" s="180"/>
      <c r="N1420" s="180"/>
      <c r="O1420" s="180"/>
      <c r="P1420" s="180"/>
    </row>
    <row r="1421" spans="1:16" x14ac:dyDescent="0.45">
      <c r="A1421" s="180" t="s">
        <v>11</v>
      </c>
      <c r="B1421" s="73">
        <v>8</v>
      </c>
      <c r="C1421" s="73"/>
      <c r="D1421" s="180" t="s">
        <v>296</v>
      </c>
      <c r="E1421" s="39">
        <v>43594</v>
      </c>
      <c r="F1421" s="179">
        <v>0.71458333333333324</v>
      </c>
      <c r="G1421" s="180">
        <v>1</v>
      </c>
      <c r="H1421" s="180"/>
      <c r="I1421" s="180"/>
      <c r="J1421" s="180"/>
      <c r="K1421" s="180"/>
      <c r="L1421" s="180"/>
      <c r="M1421" s="180"/>
      <c r="N1421" s="180"/>
      <c r="O1421" s="180"/>
      <c r="P1421" s="180"/>
    </row>
    <row r="1422" spans="1:16" x14ac:dyDescent="0.45">
      <c r="A1422" s="180" t="s">
        <v>11</v>
      </c>
      <c r="B1422" s="73">
        <v>7</v>
      </c>
      <c r="C1422" s="73"/>
      <c r="D1422" s="180" t="s">
        <v>296</v>
      </c>
      <c r="E1422" s="39">
        <v>43594</v>
      </c>
      <c r="F1422" s="179">
        <v>0.26111111111111113</v>
      </c>
      <c r="G1422" s="180">
        <v>1</v>
      </c>
      <c r="H1422" s="180"/>
      <c r="I1422" s="180"/>
      <c r="J1422" s="180"/>
      <c r="K1422" s="180"/>
      <c r="L1422" s="180"/>
      <c r="M1422" s="180"/>
      <c r="N1422" s="180"/>
      <c r="O1422" s="180"/>
      <c r="P1422" s="180"/>
    </row>
    <row r="1423" spans="1:16" x14ac:dyDescent="0.45">
      <c r="A1423" s="180" t="s">
        <v>11</v>
      </c>
      <c r="B1423" s="73">
        <v>4</v>
      </c>
      <c r="C1423" s="73"/>
      <c r="D1423" s="180" t="s">
        <v>271</v>
      </c>
      <c r="E1423" s="39">
        <v>43594</v>
      </c>
      <c r="F1423" s="179">
        <v>0.50902777777777775</v>
      </c>
      <c r="G1423" s="180">
        <v>1</v>
      </c>
      <c r="H1423" s="180"/>
      <c r="I1423" s="180"/>
      <c r="J1423" s="180"/>
      <c r="K1423" s="180"/>
      <c r="L1423" s="180"/>
      <c r="M1423" s="180"/>
      <c r="N1423" s="180"/>
      <c r="O1423" s="180"/>
      <c r="P1423" s="180"/>
    </row>
    <row r="1424" spans="1:16" x14ac:dyDescent="0.45">
      <c r="A1424" s="180" t="s">
        <v>11</v>
      </c>
      <c r="B1424" s="73">
        <v>30</v>
      </c>
      <c r="C1424" s="73"/>
      <c r="D1424" s="180" t="s">
        <v>271</v>
      </c>
      <c r="E1424" s="39">
        <v>43594</v>
      </c>
      <c r="F1424" s="179">
        <v>0.59305555555555556</v>
      </c>
      <c r="G1424" s="180">
        <v>1</v>
      </c>
      <c r="H1424" s="180"/>
      <c r="I1424" s="180"/>
      <c r="J1424" s="180"/>
      <c r="K1424" s="180"/>
      <c r="L1424" s="180"/>
      <c r="M1424" s="180"/>
      <c r="N1424" s="180"/>
      <c r="O1424" s="180"/>
      <c r="P1424" s="180"/>
    </row>
    <row r="1425" spans="1:16" x14ac:dyDescent="0.45">
      <c r="A1425" s="180" t="s">
        <v>11</v>
      </c>
      <c r="B1425" s="73">
        <v>300</v>
      </c>
      <c r="C1425" s="73"/>
      <c r="D1425" s="180" t="s">
        <v>359</v>
      </c>
      <c r="E1425" s="39">
        <v>43594</v>
      </c>
      <c r="F1425" s="179">
        <v>0.75</v>
      </c>
      <c r="G1425" s="180">
        <v>2</v>
      </c>
      <c r="H1425" s="180"/>
      <c r="I1425" s="180"/>
      <c r="J1425" s="180"/>
      <c r="K1425" s="180"/>
      <c r="L1425" s="180"/>
      <c r="M1425" s="180"/>
      <c r="N1425" s="180"/>
      <c r="O1425" s="180"/>
      <c r="P1425" s="180"/>
    </row>
    <row r="1426" spans="1:16" x14ac:dyDescent="0.45">
      <c r="A1426" s="180" t="s">
        <v>11</v>
      </c>
      <c r="B1426" s="73">
        <v>45</v>
      </c>
      <c r="C1426" s="73"/>
      <c r="D1426" s="180" t="s">
        <v>128</v>
      </c>
      <c r="E1426" s="39">
        <v>43595</v>
      </c>
      <c r="F1426" s="179">
        <v>0.6875</v>
      </c>
      <c r="G1426" s="180">
        <v>4</v>
      </c>
      <c r="H1426" s="180" t="s">
        <v>485</v>
      </c>
      <c r="I1426" s="180"/>
      <c r="J1426" s="180"/>
      <c r="K1426" s="180"/>
      <c r="L1426" s="180"/>
      <c r="M1426" s="180"/>
      <c r="N1426" s="180"/>
      <c r="O1426" s="180"/>
      <c r="P1426" s="180"/>
    </row>
    <row r="1427" spans="1:16" x14ac:dyDescent="0.45">
      <c r="A1427" s="180" t="s">
        <v>11</v>
      </c>
      <c r="B1427" s="73">
        <v>2</v>
      </c>
      <c r="C1427" s="73">
        <v>2</v>
      </c>
      <c r="D1427" s="180" t="s">
        <v>314</v>
      </c>
      <c r="E1427" s="39">
        <v>43595</v>
      </c>
      <c r="F1427" s="179">
        <v>0.54583333333333328</v>
      </c>
      <c r="G1427" s="180">
        <v>1</v>
      </c>
      <c r="H1427" s="180"/>
      <c r="I1427" s="180"/>
      <c r="J1427" s="180"/>
      <c r="K1427" s="180"/>
      <c r="L1427" s="180"/>
      <c r="M1427" s="180"/>
      <c r="N1427" s="180"/>
      <c r="O1427" s="180"/>
      <c r="P1427" s="180"/>
    </row>
    <row r="1428" spans="1:16" x14ac:dyDescent="0.45">
      <c r="A1428" s="180" t="s">
        <v>11</v>
      </c>
      <c r="B1428" s="73">
        <v>4</v>
      </c>
      <c r="C1428" s="73">
        <v>4</v>
      </c>
      <c r="D1428" s="180" t="s">
        <v>317</v>
      </c>
      <c r="E1428" s="39">
        <v>43595</v>
      </c>
      <c r="F1428" s="179">
        <v>0.59930555555555554</v>
      </c>
      <c r="G1428" s="180">
        <v>1</v>
      </c>
      <c r="H1428" s="180" t="s">
        <v>465</v>
      </c>
      <c r="I1428" s="180"/>
      <c r="J1428" s="180"/>
      <c r="K1428" s="180"/>
      <c r="L1428" s="180"/>
      <c r="M1428" s="180"/>
      <c r="N1428" s="180"/>
      <c r="O1428" s="180"/>
      <c r="P1428" s="180"/>
    </row>
    <row r="1429" spans="1:16" x14ac:dyDescent="0.45">
      <c r="A1429" s="180" t="s">
        <v>11</v>
      </c>
      <c r="B1429" s="73">
        <v>100</v>
      </c>
      <c r="C1429" s="73">
        <v>100</v>
      </c>
      <c r="D1429" s="180" t="s">
        <v>332</v>
      </c>
      <c r="E1429" s="39">
        <v>43595</v>
      </c>
      <c r="F1429" s="179">
        <v>0.3611111111111111</v>
      </c>
      <c r="G1429" s="180">
        <v>3</v>
      </c>
      <c r="H1429" s="180" t="s">
        <v>521</v>
      </c>
      <c r="I1429" s="180"/>
      <c r="J1429" s="180"/>
      <c r="K1429" s="180"/>
      <c r="L1429" s="180"/>
      <c r="M1429" s="180"/>
      <c r="N1429" s="180"/>
      <c r="O1429" s="180"/>
      <c r="P1429" s="180"/>
    </row>
    <row r="1430" spans="1:16" x14ac:dyDescent="0.45">
      <c r="A1430" s="180" t="s">
        <v>11</v>
      </c>
      <c r="B1430" s="73">
        <v>1</v>
      </c>
      <c r="C1430" s="73">
        <v>1</v>
      </c>
      <c r="D1430" s="180" t="s">
        <v>309</v>
      </c>
      <c r="E1430" s="39">
        <v>43595</v>
      </c>
      <c r="F1430" s="179">
        <v>0.80138888888888893</v>
      </c>
      <c r="G1430" s="180">
        <v>1</v>
      </c>
      <c r="H1430" s="180"/>
      <c r="I1430" s="180"/>
      <c r="J1430" s="180"/>
      <c r="K1430" s="180"/>
      <c r="L1430" s="180"/>
      <c r="M1430" s="180"/>
      <c r="N1430" s="180"/>
      <c r="O1430" s="180"/>
      <c r="P1430" s="180"/>
    </row>
    <row r="1431" spans="1:16" x14ac:dyDescent="0.45">
      <c r="A1431" s="180" t="s">
        <v>11</v>
      </c>
      <c r="B1431" s="73">
        <v>1</v>
      </c>
      <c r="C1431" s="73"/>
      <c r="D1431" s="180" t="s">
        <v>296</v>
      </c>
      <c r="E1431" s="39">
        <v>43595</v>
      </c>
      <c r="F1431" s="179">
        <v>0.65972222222222221</v>
      </c>
      <c r="G1431" s="180">
        <v>7</v>
      </c>
      <c r="H1431" s="180"/>
      <c r="I1431" s="180"/>
      <c r="J1431" s="180"/>
      <c r="K1431" s="180"/>
      <c r="L1431" s="180"/>
      <c r="M1431" s="180"/>
      <c r="N1431" s="180"/>
      <c r="O1431" s="180"/>
      <c r="P1431" s="180"/>
    </row>
    <row r="1432" spans="1:16" x14ac:dyDescent="0.45">
      <c r="A1432" s="180" t="s">
        <v>11</v>
      </c>
      <c r="B1432" s="73">
        <v>70</v>
      </c>
      <c r="C1432" s="73">
        <v>70</v>
      </c>
      <c r="D1432" s="180" t="s">
        <v>296</v>
      </c>
      <c r="E1432" s="39">
        <v>43595</v>
      </c>
      <c r="F1432" s="179">
        <v>0.76874999999999993</v>
      </c>
      <c r="G1432" s="180">
        <v>1</v>
      </c>
      <c r="H1432" s="180"/>
      <c r="I1432" s="180"/>
      <c r="J1432" s="180"/>
      <c r="K1432" s="180"/>
      <c r="L1432" s="180"/>
      <c r="M1432" s="180"/>
      <c r="N1432" s="180"/>
      <c r="O1432" s="180"/>
      <c r="P1432" s="180"/>
    </row>
    <row r="1433" spans="1:16" x14ac:dyDescent="0.45">
      <c r="A1433" s="180" t="s">
        <v>11</v>
      </c>
      <c r="B1433" s="73">
        <v>15</v>
      </c>
      <c r="C1433" s="73"/>
      <c r="D1433" s="180" t="s">
        <v>271</v>
      </c>
      <c r="E1433" s="39">
        <v>43595</v>
      </c>
      <c r="F1433" s="180"/>
      <c r="G1433" s="180"/>
      <c r="H1433" s="180"/>
      <c r="I1433" s="180"/>
      <c r="J1433" s="180"/>
      <c r="K1433" s="180"/>
      <c r="L1433" s="180"/>
      <c r="M1433" s="180"/>
      <c r="N1433" s="180"/>
      <c r="O1433" s="180"/>
      <c r="P1433" s="180"/>
    </row>
    <row r="1434" spans="1:16" x14ac:dyDescent="0.45">
      <c r="A1434" s="180" t="s">
        <v>11</v>
      </c>
      <c r="B1434" s="73">
        <v>16</v>
      </c>
      <c r="C1434" s="73">
        <v>16</v>
      </c>
      <c r="D1434" s="180" t="s">
        <v>271</v>
      </c>
      <c r="E1434" s="39">
        <v>43595</v>
      </c>
      <c r="F1434" s="179">
        <v>0.625</v>
      </c>
      <c r="G1434" s="180">
        <v>1</v>
      </c>
      <c r="H1434" s="180"/>
      <c r="I1434" s="180"/>
      <c r="J1434" s="180"/>
      <c r="K1434" s="180"/>
      <c r="L1434" s="180"/>
      <c r="M1434" s="180"/>
      <c r="N1434" s="180"/>
      <c r="O1434" s="180"/>
      <c r="P1434" s="180"/>
    </row>
    <row r="1435" spans="1:16" x14ac:dyDescent="0.45">
      <c r="A1435" s="180" t="s">
        <v>11</v>
      </c>
      <c r="B1435" s="73">
        <v>5</v>
      </c>
      <c r="C1435" s="73"/>
      <c r="D1435" s="180" t="s">
        <v>415</v>
      </c>
      <c r="E1435" s="39">
        <v>43595</v>
      </c>
      <c r="F1435" s="180"/>
      <c r="G1435" s="180"/>
      <c r="H1435" s="180"/>
      <c r="I1435" s="180"/>
      <c r="J1435" s="180"/>
      <c r="K1435" s="180"/>
      <c r="L1435" s="180"/>
      <c r="M1435" s="180"/>
      <c r="N1435" s="180"/>
      <c r="O1435" s="180"/>
      <c r="P1435" s="180"/>
    </row>
    <row r="1436" spans="1:16" x14ac:dyDescent="0.45">
      <c r="A1436" s="180" t="s">
        <v>11</v>
      </c>
      <c r="B1436" s="73">
        <v>40</v>
      </c>
      <c r="C1436" s="73"/>
      <c r="D1436" s="180" t="s">
        <v>379</v>
      </c>
      <c r="E1436" s="39">
        <v>43596</v>
      </c>
      <c r="F1436" s="179">
        <v>0.5</v>
      </c>
      <c r="G1436" s="180">
        <v>2</v>
      </c>
      <c r="H1436" s="180"/>
      <c r="I1436" s="180"/>
      <c r="J1436" s="180"/>
      <c r="K1436" s="180"/>
      <c r="L1436" s="180"/>
      <c r="M1436" s="180"/>
      <c r="N1436" s="180"/>
      <c r="O1436" s="180"/>
      <c r="P1436" s="180"/>
    </row>
    <row r="1437" spans="1:16" x14ac:dyDescent="0.45">
      <c r="A1437" s="180" t="s">
        <v>11</v>
      </c>
      <c r="B1437" s="73">
        <v>3</v>
      </c>
      <c r="C1437" s="73"/>
      <c r="D1437" s="180" t="s">
        <v>321</v>
      </c>
      <c r="E1437" s="39">
        <v>43596</v>
      </c>
      <c r="F1437" s="179">
        <v>0.36388888888888887</v>
      </c>
      <c r="G1437" s="180">
        <v>1</v>
      </c>
      <c r="H1437" s="180"/>
      <c r="I1437" s="180"/>
      <c r="J1437" s="180"/>
      <c r="K1437" s="180"/>
      <c r="L1437" s="180"/>
      <c r="M1437" s="180"/>
      <c r="N1437" s="180"/>
      <c r="O1437" s="180"/>
      <c r="P1437" s="180"/>
    </row>
    <row r="1438" spans="1:16" x14ac:dyDescent="0.45">
      <c r="A1438" s="180" t="s">
        <v>11</v>
      </c>
      <c r="B1438" s="73">
        <v>10</v>
      </c>
      <c r="C1438" s="73"/>
      <c r="D1438" s="180" t="s">
        <v>380</v>
      </c>
      <c r="E1438" s="39">
        <v>43596</v>
      </c>
      <c r="F1438" s="179">
        <v>0.64027777777777783</v>
      </c>
      <c r="G1438" s="180">
        <v>1</v>
      </c>
      <c r="H1438" s="180"/>
      <c r="I1438" s="180" t="s">
        <v>556</v>
      </c>
      <c r="J1438" s="180"/>
      <c r="K1438" s="180"/>
      <c r="L1438" s="180"/>
      <c r="M1438" s="180"/>
      <c r="N1438" s="180"/>
      <c r="O1438" s="180"/>
      <c r="P1438" s="180"/>
    </row>
    <row r="1439" spans="1:16" x14ac:dyDescent="0.45">
      <c r="A1439" s="180" t="s">
        <v>11</v>
      </c>
      <c r="B1439" s="73">
        <v>10</v>
      </c>
      <c r="C1439" s="73"/>
      <c r="D1439" s="180" t="s">
        <v>380</v>
      </c>
      <c r="E1439" s="39">
        <v>43596</v>
      </c>
      <c r="F1439" s="179">
        <v>0.64027777777777783</v>
      </c>
      <c r="G1439" s="180">
        <v>1</v>
      </c>
      <c r="H1439" s="180"/>
      <c r="I1439" s="180" t="s">
        <v>557</v>
      </c>
      <c r="J1439" s="180"/>
      <c r="K1439" s="180"/>
      <c r="L1439" s="180"/>
      <c r="M1439" s="180"/>
      <c r="N1439" s="180"/>
      <c r="O1439" s="180"/>
      <c r="P1439" s="180"/>
    </row>
    <row r="1440" spans="1:16" x14ac:dyDescent="0.45">
      <c r="A1440" s="180" t="s">
        <v>11</v>
      </c>
      <c r="B1440" s="73">
        <v>250</v>
      </c>
      <c r="C1440" s="73"/>
      <c r="D1440" s="180" t="s">
        <v>384</v>
      </c>
      <c r="E1440" s="39">
        <v>43596</v>
      </c>
      <c r="F1440" s="179">
        <v>0.37847222222222227</v>
      </c>
      <c r="G1440" s="180">
        <v>1</v>
      </c>
      <c r="H1440" s="180"/>
      <c r="I1440" s="180"/>
      <c r="J1440" s="180"/>
      <c r="K1440" s="180"/>
      <c r="L1440" s="180"/>
      <c r="M1440" s="180"/>
      <c r="N1440" s="180"/>
      <c r="O1440" s="180"/>
      <c r="P1440" s="180"/>
    </row>
    <row r="1441" spans="1:16" x14ac:dyDescent="0.45">
      <c r="A1441" s="180" t="s">
        <v>11</v>
      </c>
      <c r="B1441" s="73">
        <v>250</v>
      </c>
      <c r="C1441" s="73"/>
      <c r="D1441" s="180" t="s">
        <v>384</v>
      </c>
      <c r="E1441" s="39">
        <v>43596</v>
      </c>
      <c r="F1441" s="179">
        <v>0.37847222222222227</v>
      </c>
      <c r="G1441" s="180">
        <v>1</v>
      </c>
      <c r="H1441" s="180"/>
      <c r="I1441" s="180"/>
      <c r="K1441" s="180"/>
      <c r="L1441" s="180"/>
      <c r="M1441" s="180"/>
      <c r="N1441" s="180"/>
      <c r="O1441" s="180"/>
      <c r="P1441" s="180"/>
    </row>
    <row r="1442" spans="1:16" x14ac:dyDescent="0.45">
      <c r="A1442" s="180" t="s">
        <v>11</v>
      </c>
      <c r="B1442" s="73">
        <v>35</v>
      </c>
      <c r="C1442" s="73">
        <v>35</v>
      </c>
      <c r="D1442" s="180" t="s">
        <v>338</v>
      </c>
      <c r="E1442" s="39">
        <v>43596</v>
      </c>
      <c r="F1442" s="179">
        <v>0.3125</v>
      </c>
      <c r="G1442" s="180">
        <v>1</v>
      </c>
      <c r="H1442" s="180"/>
      <c r="I1442" s="180"/>
      <c r="J1442" s="180"/>
      <c r="K1442" s="180"/>
      <c r="L1442" s="180"/>
      <c r="M1442" s="180"/>
      <c r="N1442" s="180"/>
      <c r="O1442" s="180"/>
      <c r="P1442" s="180"/>
    </row>
    <row r="1443" spans="1:16" x14ac:dyDescent="0.45">
      <c r="A1443" s="180" t="s">
        <v>11</v>
      </c>
      <c r="B1443" s="73">
        <v>400</v>
      </c>
      <c r="C1443" s="73">
        <v>400</v>
      </c>
      <c r="D1443" s="180" t="s">
        <v>332</v>
      </c>
      <c r="E1443" s="39">
        <v>43596</v>
      </c>
      <c r="F1443" s="179">
        <v>0.32777777777777778</v>
      </c>
      <c r="G1443" s="180">
        <v>4</v>
      </c>
      <c r="H1443" s="180"/>
      <c r="I1443" s="180"/>
      <c r="J1443" s="180"/>
      <c r="K1443" s="180"/>
      <c r="L1443" s="180"/>
      <c r="M1443" s="180"/>
      <c r="N1443" s="180"/>
      <c r="O1443" s="180"/>
      <c r="P1443" s="180"/>
    </row>
    <row r="1444" spans="1:16" x14ac:dyDescent="0.45">
      <c r="A1444" s="180" t="s">
        <v>11</v>
      </c>
      <c r="B1444" s="73">
        <v>400</v>
      </c>
      <c r="C1444" s="73"/>
      <c r="D1444" s="180" t="s">
        <v>332</v>
      </c>
      <c r="E1444" s="39">
        <v>43596</v>
      </c>
      <c r="F1444" s="179">
        <v>0.32777777777777778</v>
      </c>
      <c r="G1444" s="180">
        <v>4</v>
      </c>
      <c r="H1444" s="180"/>
      <c r="I1444" s="180"/>
      <c r="J1444" s="180"/>
      <c r="K1444" s="180"/>
      <c r="L1444" s="180"/>
      <c r="M1444" s="180"/>
      <c r="N1444" s="180"/>
      <c r="O1444" s="180"/>
      <c r="P1444" s="180"/>
    </row>
    <row r="1445" spans="1:16" x14ac:dyDescent="0.45">
      <c r="A1445" s="180" t="s">
        <v>11</v>
      </c>
      <c r="B1445" s="73">
        <v>200</v>
      </c>
      <c r="C1445" s="73"/>
      <c r="D1445" s="180" t="s">
        <v>332</v>
      </c>
      <c r="E1445" s="39">
        <v>43596</v>
      </c>
      <c r="F1445" s="179">
        <v>0.64097222222222217</v>
      </c>
      <c r="G1445" s="180">
        <v>22</v>
      </c>
      <c r="H1445" s="180"/>
      <c r="I1445" s="180"/>
      <c r="J1445" s="180"/>
      <c r="K1445" s="180"/>
      <c r="L1445" s="180"/>
      <c r="M1445" s="180"/>
      <c r="N1445" s="180"/>
      <c r="O1445" s="180"/>
      <c r="P1445" s="180"/>
    </row>
    <row r="1446" spans="1:16" x14ac:dyDescent="0.45">
      <c r="A1446" s="180" t="s">
        <v>11</v>
      </c>
      <c r="B1446" s="73">
        <v>3000</v>
      </c>
      <c r="C1446" s="73">
        <v>3000</v>
      </c>
      <c r="D1446" s="180" t="s">
        <v>311</v>
      </c>
      <c r="E1446" s="39">
        <v>43596</v>
      </c>
      <c r="F1446" s="179">
        <v>0.57500000000000007</v>
      </c>
      <c r="G1446" s="180">
        <v>22</v>
      </c>
      <c r="H1446" s="180" t="s">
        <v>385</v>
      </c>
      <c r="I1446" s="180"/>
      <c r="J1446" s="180"/>
      <c r="K1446" s="180"/>
      <c r="L1446" s="180"/>
      <c r="M1446" s="180"/>
      <c r="N1446" s="180"/>
      <c r="O1446" s="180"/>
      <c r="P1446" s="180"/>
    </row>
    <row r="1447" spans="1:16" x14ac:dyDescent="0.45">
      <c r="A1447" s="180" t="s">
        <v>11</v>
      </c>
      <c r="B1447" s="73">
        <v>150</v>
      </c>
      <c r="C1447" s="73"/>
      <c r="D1447" s="180" t="s">
        <v>309</v>
      </c>
      <c r="E1447" s="39">
        <v>43596</v>
      </c>
      <c r="F1447" s="179">
        <v>0.28472222222222221</v>
      </c>
      <c r="G1447" s="180">
        <v>1</v>
      </c>
      <c r="H1447" s="180"/>
      <c r="I1447" s="180"/>
      <c r="J1447" s="180"/>
      <c r="K1447" s="180"/>
      <c r="L1447" s="180"/>
      <c r="M1447" s="180"/>
      <c r="N1447" s="180"/>
      <c r="O1447" s="180"/>
      <c r="P1447" s="180"/>
    </row>
    <row r="1448" spans="1:16" x14ac:dyDescent="0.45">
      <c r="A1448" s="180" t="s">
        <v>11</v>
      </c>
      <c r="B1448" s="73">
        <v>1200</v>
      </c>
      <c r="C1448" s="73"/>
      <c r="D1448" s="180" t="s">
        <v>309</v>
      </c>
      <c r="E1448" s="39">
        <v>43596</v>
      </c>
      <c r="F1448" s="179">
        <v>0.3347222222222222</v>
      </c>
      <c r="G1448" s="180">
        <v>1</v>
      </c>
      <c r="H1448" s="180"/>
      <c r="I1448" s="180"/>
      <c r="J1448" s="180"/>
      <c r="K1448" s="180"/>
      <c r="L1448" s="180"/>
      <c r="M1448" s="180"/>
      <c r="N1448" s="180"/>
      <c r="O1448" s="180"/>
      <c r="P1448" s="180"/>
    </row>
    <row r="1449" spans="1:16" x14ac:dyDescent="0.45">
      <c r="A1449" s="180" t="s">
        <v>11</v>
      </c>
      <c r="B1449" s="73">
        <v>2000</v>
      </c>
      <c r="C1449" s="73">
        <v>2000</v>
      </c>
      <c r="D1449" s="180" t="s">
        <v>309</v>
      </c>
      <c r="E1449" s="39">
        <v>43596</v>
      </c>
      <c r="F1449" s="179">
        <v>0.87222222222222223</v>
      </c>
      <c r="G1449" s="180">
        <v>4</v>
      </c>
      <c r="H1449" s="180"/>
      <c r="I1449" s="180"/>
      <c r="J1449" s="180"/>
      <c r="K1449" s="180"/>
      <c r="L1449" s="180"/>
      <c r="M1449" s="180"/>
      <c r="N1449" s="180"/>
      <c r="O1449" s="180"/>
      <c r="P1449" s="180"/>
    </row>
    <row r="1450" spans="1:16" x14ac:dyDescent="0.45">
      <c r="A1450" s="180" t="s">
        <v>11</v>
      </c>
      <c r="B1450" s="73">
        <v>900</v>
      </c>
      <c r="C1450" s="73"/>
      <c r="D1450" s="180" t="s">
        <v>309</v>
      </c>
      <c r="E1450" s="39">
        <v>43596</v>
      </c>
      <c r="F1450" s="179">
        <v>0.29444444444444445</v>
      </c>
      <c r="G1450" s="180">
        <v>1</v>
      </c>
      <c r="H1450" s="180" t="s">
        <v>362</v>
      </c>
      <c r="I1450" s="180"/>
      <c r="J1450" s="180"/>
      <c r="K1450" s="180"/>
      <c r="L1450" s="180"/>
      <c r="M1450" s="180"/>
      <c r="N1450" s="180"/>
      <c r="O1450" s="180"/>
      <c r="P1450" s="180"/>
    </row>
    <row r="1451" spans="1:16" x14ac:dyDescent="0.45">
      <c r="A1451" s="180" t="s">
        <v>11</v>
      </c>
      <c r="B1451" s="73">
        <v>1000</v>
      </c>
      <c r="C1451" s="73"/>
      <c r="D1451" s="180" t="s">
        <v>309</v>
      </c>
      <c r="E1451" s="39">
        <v>43596</v>
      </c>
      <c r="F1451" s="179">
        <v>0.37986111111111115</v>
      </c>
      <c r="G1451" s="180">
        <v>1</v>
      </c>
      <c r="H1451" s="180"/>
      <c r="I1451" s="180"/>
      <c r="J1451" s="180"/>
      <c r="K1451" s="180"/>
      <c r="L1451" s="180"/>
      <c r="M1451" s="180"/>
      <c r="N1451" s="180"/>
      <c r="O1451" s="180"/>
      <c r="P1451" s="180"/>
    </row>
    <row r="1452" spans="1:16" x14ac:dyDescent="0.45">
      <c r="A1452" s="180" t="s">
        <v>11</v>
      </c>
      <c r="B1452" s="73">
        <v>760</v>
      </c>
      <c r="C1452" s="73"/>
      <c r="D1452" s="180" t="s">
        <v>309</v>
      </c>
      <c r="E1452" s="39">
        <v>43596</v>
      </c>
      <c r="F1452" s="179">
        <v>0.29166666666666669</v>
      </c>
      <c r="G1452" s="180">
        <v>20</v>
      </c>
      <c r="H1452" s="180" t="s">
        <v>363</v>
      </c>
      <c r="I1452" s="180"/>
      <c r="J1452" s="180"/>
      <c r="K1452" s="180"/>
      <c r="L1452" s="180"/>
      <c r="M1452" s="180"/>
      <c r="N1452" s="180"/>
      <c r="O1452" s="180"/>
      <c r="P1452" s="180"/>
    </row>
    <row r="1453" spans="1:16" x14ac:dyDescent="0.45">
      <c r="A1453" s="180" t="s">
        <v>11</v>
      </c>
      <c r="B1453" s="73">
        <v>50</v>
      </c>
      <c r="C1453" s="73"/>
      <c r="D1453" s="180" t="s">
        <v>309</v>
      </c>
      <c r="E1453" s="39">
        <v>43596</v>
      </c>
      <c r="F1453" s="179">
        <v>0.34583333333333338</v>
      </c>
      <c r="G1453" s="180">
        <v>1</v>
      </c>
      <c r="H1453" s="180"/>
      <c r="I1453" s="180"/>
      <c r="J1453" s="180"/>
      <c r="K1453" s="180"/>
      <c r="L1453" s="180"/>
      <c r="M1453" s="180"/>
      <c r="N1453" s="180"/>
      <c r="O1453" s="180"/>
      <c r="P1453" s="180"/>
    </row>
    <row r="1454" spans="1:16" x14ac:dyDescent="0.45">
      <c r="A1454" s="180" t="s">
        <v>11</v>
      </c>
      <c r="B1454" s="73">
        <v>1000</v>
      </c>
      <c r="C1454" s="73"/>
      <c r="D1454" s="180" t="s">
        <v>309</v>
      </c>
      <c r="E1454" s="39">
        <v>43596</v>
      </c>
      <c r="F1454" s="179">
        <v>0.32569444444444445</v>
      </c>
      <c r="G1454" s="180">
        <v>3</v>
      </c>
      <c r="H1454" s="180" t="s">
        <v>361</v>
      </c>
      <c r="I1454" s="180"/>
      <c r="J1454" s="180"/>
      <c r="K1454" s="180"/>
      <c r="L1454" s="180"/>
      <c r="M1454" s="180"/>
      <c r="N1454" s="180"/>
      <c r="O1454" s="180"/>
      <c r="P1454" s="180"/>
    </row>
    <row r="1455" spans="1:16" x14ac:dyDescent="0.45">
      <c r="A1455" s="180" t="s">
        <v>11</v>
      </c>
      <c r="B1455" s="73">
        <v>1000</v>
      </c>
      <c r="C1455" s="73"/>
      <c r="D1455" s="180" t="s">
        <v>309</v>
      </c>
      <c r="E1455" s="39">
        <v>43596</v>
      </c>
      <c r="F1455" s="179">
        <v>0.32291666666666669</v>
      </c>
      <c r="G1455" s="180">
        <v>1</v>
      </c>
      <c r="H1455" s="180" t="s">
        <v>364</v>
      </c>
      <c r="I1455" s="180"/>
      <c r="J1455" s="180"/>
      <c r="K1455" s="180"/>
      <c r="L1455" s="180"/>
      <c r="M1455" s="180"/>
      <c r="N1455" s="180"/>
      <c r="O1455" s="180"/>
      <c r="P1455" s="180"/>
    </row>
    <row r="1456" spans="1:16" x14ac:dyDescent="0.45">
      <c r="A1456" s="180" t="s">
        <v>11</v>
      </c>
      <c r="B1456" s="73">
        <v>200</v>
      </c>
      <c r="C1456" s="73"/>
      <c r="D1456" s="180" t="s">
        <v>309</v>
      </c>
      <c r="E1456" s="39">
        <v>43596</v>
      </c>
      <c r="F1456" s="179">
        <v>0.81041666666666667</v>
      </c>
      <c r="G1456" s="180">
        <v>1</v>
      </c>
      <c r="H1456" s="180"/>
      <c r="I1456" s="180"/>
      <c r="J1456" s="180"/>
      <c r="K1456" s="180"/>
      <c r="L1456" s="180"/>
      <c r="M1456" s="180"/>
      <c r="N1456" s="180"/>
      <c r="O1456" s="180"/>
      <c r="P1456" s="180"/>
    </row>
    <row r="1457" spans="1:16" x14ac:dyDescent="0.45">
      <c r="A1457" s="180" t="s">
        <v>11</v>
      </c>
      <c r="B1457" s="73">
        <v>1700</v>
      </c>
      <c r="C1457" s="73"/>
      <c r="D1457" s="180" t="s">
        <v>309</v>
      </c>
      <c r="E1457" s="39">
        <v>43596</v>
      </c>
      <c r="F1457" s="179">
        <v>0.79513888888888884</v>
      </c>
      <c r="G1457" s="180">
        <v>1</v>
      </c>
      <c r="H1457" s="180" t="s">
        <v>387</v>
      </c>
      <c r="I1457" s="180"/>
      <c r="J1457" s="180"/>
      <c r="K1457" s="180"/>
      <c r="L1457" s="180"/>
      <c r="M1457" s="180"/>
      <c r="N1457" s="180"/>
      <c r="O1457" s="180"/>
      <c r="P1457" s="180"/>
    </row>
    <row r="1458" spans="1:16" x14ac:dyDescent="0.45">
      <c r="A1458" s="180" t="s">
        <v>11</v>
      </c>
      <c r="B1458" s="73">
        <v>2000</v>
      </c>
      <c r="C1458" s="73"/>
      <c r="D1458" s="180" t="s">
        <v>309</v>
      </c>
      <c r="E1458" s="39">
        <v>43596</v>
      </c>
      <c r="F1458" s="179">
        <v>0.32291666666666669</v>
      </c>
      <c r="G1458" s="180">
        <v>5</v>
      </c>
      <c r="H1458" s="180"/>
      <c r="I1458" s="180"/>
      <c r="J1458" s="180"/>
      <c r="K1458" s="180"/>
      <c r="L1458" s="180"/>
      <c r="M1458" s="180"/>
      <c r="N1458" s="180"/>
      <c r="O1458" s="180"/>
      <c r="P1458" s="180"/>
    </row>
    <row r="1459" spans="1:16" x14ac:dyDescent="0.45">
      <c r="A1459" s="180" t="s">
        <v>11</v>
      </c>
      <c r="B1459" s="73">
        <v>1000</v>
      </c>
      <c r="C1459" s="73"/>
      <c r="D1459" s="180" t="s">
        <v>309</v>
      </c>
      <c r="E1459" s="39">
        <v>43596</v>
      </c>
      <c r="F1459" s="179">
        <v>0.375</v>
      </c>
      <c r="G1459" s="180">
        <v>1</v>
      </c>
      <c r="H1459" s="180"/>
      <c r="I1459" s="180"/>
      <c r="K1459" s="180"/>
      <c r="L1459" s="180"/>
      <c r="M1459" s="180"/>
      <c r="N1459" s="180"/>
      <c r="O1459" s="180"/>
      <c r="P1459" s="180"/>
    </row>
    <row r="1460" spans="1:16" x14ac:dyDescent="0.45">
      <c r="A1460" s="180" t="s">
        <v>11</v>
      </c>
      <c r="B1460" s="73">
        <v>100</v>
      </c>
      <c r="C1460" s="73"/>
      <c r="D1460" s="180" t="s">
        <v>324</v>
      </c>
      <c r="E1460" s="39">
        <v>43596</v>
      </c>
      <c r="F1460" s="179">
        <v>0.28333333333333333</v>
      </c>
      <c r="G1460" s="180">
        <v>2</v>
      </c>
      <c r="H1460" s="180"/>
      <c r="I1460" s="180"/>
      <c r="J1460" s="180"/>
      <c r="K1460" s="180"/>
      <c r="L1460" s="180"/>
      <c r="M1460" s="180"/>
      <c r="N1460" s="180"/>
      <c r="O1460" s="180"/>
      <c r="P1460" s="180"/>
    </row>
    <row r="1461" spans="1:16" x14ac:dyDescent="0.45">
      <c r="A1461" s="180" t="s">
        <v>11</v>
      </c>
      <c r="B1461" s="73">
        <v>150</v>
      </c>
      <c r="C1461" s="73"/>
      <c r="D1461" s="180" t="s">
        <v>376</v>
      </c>
      <c r="E1461" s="39">
        <v>43596</v>
      </c>
      <c r="F1461" s="179">
        <v>0.72083333333333333</v>
      </c>
      <c r="G1461" s="180">
        <v>3</v>
      </c>
      <c r="H1461" s="180"/>
      <c r="I1461" s="180"/>
      <c r="J1461" s="180"/>
      <c r="K1461" s="180"/>
      <c r="L1461" s="180"/>
      <c r="M1461" s="180"/>
      <c r="N1461" s="180"/>
      <c r="O1461" s="180"/>
      <c r="P1461" s="180"/>
    </row>
    <row r="1462" spans="1:16" x14ac:dyDescent="0.45">
      <c r="A1462" s="180" t="s">
        <v>11</v>
      </c>
      <c r="B1462" s="73">
        <v>12</v>
      </c>
      <c r="C1462" s="73"/>
      <c r="D1462" s="180" t="s">
        <v>376</v>
      </c>
      <c r="E1462" s="39">
        <v>43596</v>
      </c>
      <c r="F1462" s="179">
        <v>0.36388888888888887</v>
      </c>
      <c r="G1462" s="180">
        <v>2</v>
      </c>
      <c r="H1462" s="180"/>
      <c r="I1462" s="180"/>
      <c r="J1462" s="180"/>
      <c r="K1462" s="180"/>
      <c r="L1462" s="180"/>
      <c r="M1462" s="180"/>
      <c r="N1462" s="180"/>
      <c r="O1462" s="180"/>
      <c r="P1462" s="180"/>
    </row>
    <row r="1463" spans="1:16" x14ac:dyDescent="0.45">
      <c r="A1463" s="180" t="s">
        <v>11</v>
      </c>
      <c r="B1463" s="73">
        <v>40</v>
      </c>
      <c r="C1463" s="73"/>
      <c r="D1463" s="180" t="s">
        <v>271</v>
      </c>
      <c r="E1463" s="39">
        <v>43596</v>
      </c>
      <c r="F1463" s="179">
        <v>0.33333333333333331</v>
      </c>
      <c r="G1463" s="180">
        <v>6</v>
      </c>
      <c r="H1463" s="180" t="s">
        <v>327</v>
      </c>
      <c r="I1463" s="180"/>
      <c r="J1463" s="180"/>
      <c r="K1463" s="180"/>
      <c r="L1463" s="180"/>
      <c r="M1463" s="180"/>
      <c r="N1463" s="180"/>
      <c r="O1463" s="180"/>
      <c r="P1463" s="180"/>
    </row>
    <row r="1464" spans="1:16" x14ac:dyDescent="0.45">
      <c r="A1464" s="180" t="s">
        <v>11</v>
      </c>
      <c r="B1464" s="73">
        <v>60</v>
      </c>
      <c r="C1464" s="73"/>
      <c r="D1464" s="180" t="s">
        <v>271</v>
      </c>
      <c r="E1464" s="39">
        <v>43596</v>
      </c>
      <c r="F1464" s="179">
        <v>0.33194444444444443</v>
      </c>
      <c r="G1464" s="180">
        <v>2</v>
      </c>
      <c r="H1464" s="180"/>
      <c r="I1464" s="180"/>
      <c r="J1464" s="180"/>
      <c r="K1464" s="180"/>
      <c r="L1464" s="180"/>
      <c r="M1464" s="180"/>
      <c r="N1464" s="180"/>
      <c r="O1464" s="180"/>
      <c r="P1464" s="180"/>
    </row>
    <row r="1465" spans="1:16" x14ac:dyDescent="0.45">
      <c r="A1465" s="180" t="s">
        <v>11</v>
      </c>
      <c r="B1465" s="73">
        <v>300</v>
      </c>
      <c r="C1465" s="73"/>
      <c r="D1465" s="180" t="s">
        <v>271</v>
      </c>
      <c r="E1465" s="39">
        <v>43596</v>
      </c>
      <c r="F1465" s="179">
        <v>0.53611111111111109</v>
      </c>
      <c r="G1465" s="180">
        <v>2</v>
      </c>
      <c r="H1465" s="180"/>
      <c r="I1465" s="180"/>
      <c r="J1465" s="180"/>
      <c r="K1465" s="180"/>
      <c r="L1465" s="180"/>
      <c r="M1465" s="180"/>
      <c r="N1465" s="180"/>
      <c r="O1465" s="180"/>
      <c r="P1465" s="180"/>
    </row>
    <row r="1466" spans="1:16" x14ac:dyDescent="0.45">
      <c r="A1466" s="180" t="s">
        <v>11</v>
      </c>
      <c r="B1466" s="73">
        <v>100</v>
      </c>
      <c r="C1466" s="73"/>
      <c r="D1466" s="180" t="s">
        <v>271</v>
      </c>
      <c r="E1466" s="39">
        <v>43596</v>
      </c>
      <c r="F1466" s="179">
        <v>0.52083333333333337</v>
      </c>
      <c r="G1466" s="180">
        <v>3</v>
      </c>
      <c r="H1466" s="180"/>
      <c r="I1466" s="180"/>
      <c r="J1466" s="180"/>
      <c r="K1466" s="180"/>
      <c r="L1466" s="180"/>
      <c r="M1466" s="180"/>
      <c r="N1466" s="180"/>
      <c r="O1466" s="180"/>
      <c r="P1466" s="180"/>
    </row>
    <row r="1467" spans="1:16" x14ac:dyDescent="0.45">
      <c r="A1467" s="180" t="s">
        <v>11</v>
      </c>
      <c r="B1467" s="73">
        <v>35</v>
      </c>
      <c r="C1467" s="73"/>
      <c r="D1467" s="180" t="s">
        <v>271</v>
      </c>
      <c r="E1467" s="39">
        <v>43596</v>
      </c>
      <c r="F1467" s="179">
        <v>0.80486111111111114</v>
      </c>
      <c r="G1467" s="180">
        <v>1</v>
      </c>
      <c r="H1467" s="180"/>
      <c r="I1467" s="180"/>
      <c r="J1467" s="180"/>
      <c r="K1467" s="180"/>
      <c r="L1467" s="180"/>
      <c r="M1467" s="180"/>
      <c r="N1467" s="180"/>
      <c r="O1467" s="180"/>
      <c r="P1467" s="180"/>
    </row>
    <row r="1468" spans="1:16" x14ac:dyDescent="0.45">
      <c r="A1468" s="180" t="s">
        <v>11</v>
      </c>
      <c r="B1468" s="73">
        <v>200</v>
      </c>
      <c r="C1468" s="73"/>
      <c r="D1468" s="180" t="s">
        <v>271</v>
      </c>
      <c r="E1468" s="39">
        <v>43596</v>
      </c>
      <c r="F1468" s="179">
        <v>0.72499999999999998</v>
      </c>
      <c r="G1468" s="180">
        <v>1</v>
      </c>
      <c r="H1468" s="180"/>
      <c r="I1468" s="180"/>
      <c r="J1468" s="180"/>
      <c r="K1468" s="180"/>
      <c r="L1468" s="180"/>
      <c r="M1468" s="180"/>
      <c r="N1468" s="180"/>
      <c r="O1468" s="180"/>
      <c r="P1468" s="180"/>
    </row>
    <row r="1469" spans="1:16" x14ac:dyDescent="0.45">
      <c r="A1469" s="180" t="s">
        <v>11</v>
      </c>
      <c r="B1469" s="73">
        <v>60</v>
      </c>
      <c r="C1469" s="73"/>
      <c r="D1469" s="180" t="s">
        <v>271</v>
      </c>
      <c r="E1469" s="39">
        <v>43596</v>
      </c>
      <c r="F1469" s="179">
        <v>0.66666666666666663</v>
      </c>
      <c r="G1469" s="180">
        <v>7</v>
      </c>
      <c r="H1469" s="180" t="s">
        <v>392</v>
      </c>
      <c r="I1469" s="180"/>
      <c r="K1469" s="180"/>
      <c r="L1469" s="180"/>
      <c r="M1469" s="180"/>
      <c r="N1469" s="180"/>
      <c r="O1469" s="180"/>
      <c r="P1469" s="180"/>
    </row>
    <row r="1470" spans="1:16" x14ac:dyDescent="0.45">
      <c r="A1470" s="180" t="s">
        <v>11</v>
      </c>
      <c r="B1470" s="73">
        <v>97</v>
      </c>
      <c r="C1470" s="73"/>
      <c r="D1470" s="180" t="s">
        <v>271</v>
      </c>
      <c r="E1470" s="39">
        <v>43596</v>
      </c>
      <c r="F1470" s="179">
        <v>0.5625</v>
      </c>
      <c r="G1470" s="180">
        <v>3</v>
      </c>
      <c r="H1470" s="180"/>
      <c r="I1470" s="180"/>
      <c r="J1470" s="180"/>
      <c r="K1470" s="180"/>
      <c r="L1470" s="180"/>
      <c r="M1470" s="180"/>
      <c r="N1470" s="180"/>
      <c r="O1470" s="180"/>
      <c r="P1470" s="180"/>
    </row>
    <row r="1471" spans="1:16" x14ac:dyDescent="0.45">
      <c r="A1471" s="180" t="s">
        <v>11</v>
      </c>
      <c r="B1471" s="73">
        <v>45</v>
      </c>
      <c r="C1471" s="73"/>
      <c r="D1471" s="180" t="s">
        <v>271</v>
      </c>
      <c r="E1471" s="39">
        <v>43596</v>
      </c>
      <c r="F1471" s="179">
        <v>0.5756944444444444</v>
      </c>
      <c r="G1471" s="180">
        <v>2</v>
      </c>
      <c r="H1471" s="180"/>
      <c r="I1471" s="180"/>
      <c r="J1471" s="180"/>
      <c r="K1471" s="180"/>
      <c r="L1471" s="180"/>
      <c r="M1471" s="180"/>
      <c r="N1471" s="180"/>
      <c r="O1471" s="180"/>
      <c r="P1471" s="180"/>
    </row>
    <row r="1472" spans="1:16" x14ac:dyDescent="0.45">
      <c r="A1472" s="180" t="s">
        <v>11</v>
      </c>
      <c r="B1472" s="73">
        <v>45</v>
      </c>
      <c r="C1472" s="73"/>
      <c r="D1472" s="180" t="s">
        <v>271</v>
      </c>
      <c r="E1472" s="39">
        <v>43596</v>
      </c>
      <c r="F1472" s="179">
        <v>0.5756944444444444</v>
      </c>
      <c r="G1472" s="180">
        <v>2</v>
      </c>
      <c r="H1472" s="180"/>
      <c r="I1472" s="180"/>
      <c r="J1472" s="180"/>
      <c r="K1472" s="180"/>
      <c r="L1472" s="180"/>
      <c r="M1472" s="180"/>
      <c r="N1472" s="180"/>
      <c r="O1472" s="180"/>
      <c r="P1472" s="180"/>
    </row>
    <row r="1473" spans="1:16" x14ac:dyDescent="0.45">
      <c r="A1473" s="180" t="s">
        <v>11</v>
      </c>
      <c r="B1473" s="73">
        <v>100</v>
      </c>
      <c r="C1473" s="73"/>
      <c r="D1473" s="180" t="s">
        <v>271</v>
      </c>
      <c r="E1473" s="39">
        <v>43596</v>
      </c>
      <c r="F1473" s="179">
        <v>0.33333333333333331</v>
      </c>
      <c r="G1473" s="180">
        <v>10</v>
      </c>
      <c r="H1473" s="180" t="s">
        <v>325</v>
      </c>
      <c r="I1473" s="180"/>
      <c r="J1473" s="180"/>
      <c r="K1473" s="180"/>
      <c r="L1473" s="180"/>
      <c r="M1473" s="180"/>
      <c r="N1473" s="180"/>
      <c r="O1473" s="180"/>
      <c r="P1473" s="180"/>
    </row>
    <row r="1474" spans="1:16" x14ac:dyDescent="0.45">
      <c r="A1474" s="180" t="s">
        <v>11</v>
      </c>
      <c r="B1474" s="73">
        <v>400</v>
      </c>
      <c r="C1474" s="73">
        <v>400</v>
      </c>
      <c r="D1474" s="180" t="s">
        <v>271</v>
      </c>
      <c r="E1474" s="39">
        <v>43596</v>
      </c>
      <c r="F1474" s="179">
        <v>0.4861111111111111</v>
      </c>
      <c r="G1474" s="180">
        <v>1</v>
      </c>
      <c r="H1474" s="180" t="s">
        <v>390</v>
      </c>
      <c r="I1474" s="180"/>
      <c r="J1474" s="180"/>
      <c r="K1474" s="180"/>
      <c r="L1474" s="180"/>
      <c r="M1474" s="180"/>
      <c r="N1474" s="180"/>
      <c r="O1474" s="180"/>
      <c r="P1474" s="180"/>
    </row>
    <row r="1475" spans="1:16" x14ac:dyDescent="0.45">
      <c r="A1475" s="180" t="s">
        <v>11</v>
      </c>
      <c r="B1475" s="73">
        <v>70</v>
      </c>
      <c r="C1475" s="73"/>
      <c r="D1475" s="180" t="s">
        <v>271</v>
      </c>
      <c r="E1475" s="39">
        <v>43596</v>
      </c>
      <c r="F1475" s="179">
        <v>0.6743055555555556</v>
      </c>
      <c r="G1475" s="180">
        <v>2</v>
      </c>
      <c r="H1475" s="180"/>
      <c r="I1475" s="180"/>
      <c r="J1475" s="180"/>
      <c r="K1475" s="180"/>
      <c r="L1475" s="180"/>
      <c r="M1475" s="180"/>
      <c r="N1475" s="180"/>
      <c r="O1475" s="180"/>
      <c r="P1475" s="180"/>
    </row>
    <row r="1476" spans="1:16" x14ac:dyDescent="0.45">
      <c r="A1476" s="180" t="s">
        <v>11</v>
      </c>
      <c r="B1476" s="73">
        <v>20</v>
      </c>
      <c r="C1476" s="73"/>
      <c r="D1476" s="180" t="s">
        <v>271</v>
      </c>
      <c r="E1476" s="39">
        <v>43596</v>
      </c>
      <c r="F1476" s="179">
        <v>0.57222222222222219</v>
      </c>
      <c r="G1476" s="180">
        <v>2</v>
      </c>
      <c r="H1476" s="180"/>
      <c r="I1476" s="180"/>
      <c r="J1476" s="180"/>
      <c r="K1476" s="180"/>
      <c r="L1476" s="180"/>
      <c r="M1476" s="180"/>
      <c r="N1476" s="180"/>
      <c r="O1476" s="180"/>
      <c r="P1476" s="180"/>
    </row>
    <row r="1477" spans="1:16" x14ac:dyDescent="0.45">
      <c r="A1477" s="180" t="s">
        <v>11</v>
      </c>
      <c r="B1477" s="73">
        <v>220</v>
      </c>
      <c r="C1477" s="73"/>
      <c r="D1477" s="180" t="s">
        <v>271</v>
      </c>
      <c r="E1477" s="39">
        <v>43596</v>
      </c>
      <c r="F1477" s="179">
        <v>0.47916666666666669</v>
      </c>
      <c r="G1477" s="180">
        <v>4</v>
      </c>
      <c r="H1477" s="180" t="s">
        <v>393</v>
      </c>
      <c r="I1477" s="180"/>
      <c r="J1477" s="180"/>
      <c r="K1477" s="180"/>
      <c r="L1477" s="180"/>
      <c r="M1477" s="180"/>
      <c r="N1477" s="180"/>
      <c r="O1477" s="180"/>
      <c r="P1477" s="180"/>
    </row>
    <row r="1478" spans="1:16" x14ac:dyDescent="0.45">
      <c r="A1478" s="180" t="s">
        <v>11</v>
      </c>
      <c r="B1478" s="73">
        <v>70</v>
      </c>
      <c r="C1478" s="73"/>
      <c r="D1478" s="180" t="s">
        <v>415</v>
      </c>
      <c r="E1478" s="39">
        <v>43596</v>
      </c>
      <c r="F1478" s="179">
        <v>0.64374999999999993</v>
      </c>
      <c r="G1478" s="180">
        <v>2</v>
      </c>
      <c r="H1478" s="180"/>
      <c r="I1478" s="180"/>
      <c r="J1478" s="180"/>
      <c r="K1478" s="180"/>
      <c r="L1478" s="180"/>
      <c r="M1478" s="180"/>
      <c r="N1478" s="180"/>
      <c r="O1478" s="180"/>
      <c r="P1478" s="180"/>
    </row>
    <row r="1479" spans="1:16" x14ac:dyDescent="0.45">
      <c r="A1479" s="180" t="s">
        <v>11</v>
      </c>
      <c r="B1479" s="73">
        <v>70</v>
      </c>
      <c r="C1479" s="73"/>
      <c r="D1479" s="180" t="s">
        <v>415</v>
      </c>
      <c r="E1479" s="39">
        <v>43596</v>
      </c>
      <c r="F1479" s="179">
        <v>0.64374999999999993</v>
      </c>
      <c r="G1479" s="180">
        <v>2</v>
      </c>
      <c r="H1479" s="180"/>
      <c r="I1479" s="180"/>
      <c r="J1479" s="180"/>
      <c r="K1479" s="180"/>
      <c r="L1479" s="180"/>
      <c r="M1479" s="180"/>
      <c r="N1479" s="180"/>
      <c r="O1479" s="180"/>
      <c r="P1479" s="180"/>
    </row>
    <row r="1480" spans="1:16" x14ac:dyDescent="0.45">
      <c r="A1480" s="180" t="s">
        <v>11</v>
      </c>
      <c r="B1480" s="73">
        <v>15</v>
      </c>
      <c r="C1480" s="73"/>
      <c r="D1480" s="180" t="s">
        <v>288</v>
      </c>
      <c r="E1480" s="39">
        <v>43596</v>
      </c>
      <c r="F1480" s="179">
        <v>0.39861111111111108</v>
      </c>
      <c r="G1480" s="180">
        <v>8</v>
      </c>
      <c r="H1480" s="180"/>
      <c r="I1480" s="180"/>
      <c r="J1480" s="180"/>
      <c r="K1480" s="180"/>
      <c r="L1480" s="180"/>
      <c r="M1480" s="180"/>
      <c r="N1480" s="180"/>
      <c r="O1480" s="180"/>
      <c r="P1480" s="180"/>
    </row>
    <row r="1481" spans="1:16" x14ac:dyDescent="0.45">
      <c r="A1481" s="180" t="s">
        <v>11</v>
      </c>
      <c r="B1481" s="73">
        <v>15</v>
      </c>
      <c r="C1481" s="73"/>
      <c r="D1481" s="180" t="s">
        <v>288</v>
      </c>
      <c r="E1481" s="39">
        <v>43596</v>
      </c>
      <c r="F1481" s="179">
        <v>0.39861111111111108</v>
      </c>
      <c r="G1481" s="180">
        <v>8</v>
      </c>
      <c r="H1481" s="180"/>
      <c r="I1481" s="180"/>
      <c r="J1481" s="180"/>
      <c r="K1481" s="180"/>
      <c r="L1481" s="180"/>
      <c r="M1481" s="180"/>
      <c r="N1481" s="180"/>
      <c r="O1481" s="180"/>
      <c r="P1481" s="180"/>
    </row>
    <row r="1482" spans="1:16" x14ac:dyDescent="0.45">
      <c r="A1482" s="180" t="s">
        <v>11</v>
      </c>
      <c r="B1482" s="73">
        <v>2</v>
      </c>
      <c r="C1482" s="73"/>
      <c r="D1482" s="180" t="s">
        <v>378</v>
      </c>
      <c r="E1482" s="39">
        <v>43597</v>
      </c>
      <c r="F1482" s="179">
        <v>0.81944444444444453</v>
      </c>
      <c r="G1482" s="180">
        <v>1</v>
      </c>
      <c r="H1482" s="180"/>
      <c r="I1482" s="180"/>
      <c r="J1482" s="180"/>
      <c r="K1482" s="180"/>
      <c r="L1482" s="180"/>
      <c r="M1482" s="180"/>
      <c r="N1482" s="180"/>
      <c r="O1482" s="180"/>
      <c r="P1482" s="180"/>
    </row>
    <row r="1483" spans="1:16" x14ac:dyDescent="0.45">
      <c r="A1483" s="180" t="s">
        <v>11</v>
      </c>
      <c r="B1483" s="73">
        <v>2</v>
      </c>
      <c r="C1483" s="73"/>
      <c r="D1483" s="180" t="s">
        <v>378</v>
      </c>
      <c r="E1483" s="39">
        <v>43597</v>
      </c>
      <c r="F1483" s="179">
        <v>0.81944444444444453</v>
      </c>
      <c r="G1483" s="180">
        <v>1</v>
      </c>
      <c r="H1483" s="180"/>
      <c r="I1483" s="180"/>
      <c r="J1483" s="180"/>
      <c r="K1483" s="180"/>
      <c r="L1483" s="180"/>
      <c r="M1483" s="180"/>
      <c r="N1483" s="180"/>
      <c r="O1483" s="180"/>
      <c r="P1483" s="180"/>
    </row>
    <row r="1484" spans="1:16" x14ac:dyDescent="0.45">
      <c r="A1484" s="180" t="s">
        <v>11</v>
      </c>
      <c r="B1484" s="73">
        <v>150</v>
      </c>
      <c r="C1484" s="73"/>
      <c r="D1484" s="180" t="s">
        <v>395</v>
      </c>
      <c r="E1484" s="39">
        <v>43597</v>
      </c>
      <c r="F1484" s="179">
        <v>0.3125</v>
      </c>
      <c r="G1484" s="180">
        <v>1</v>
      </c>
      <c r="H1484" s="180" t="s">
        <v>396</v>
      </c>
      <c r="I1484" s="180"/>
      <c r="J1484" s="180"/>
      <c r="K1484" s="180"/>
      <c r="L1484" s="180"/>
      <c r="M1484" s="180"/>
      <c r="N1484" s="180"/>
      <c r="O1484" s="180"/>
      <c r="P1484" s="180"/>
    </row>
    <row r="1485" spans="1:16" x14ac:dyDescent="0.45">
      <c r="A1485" s="180" t="s">
        <v>11</v>
      </c>
      <c r="B1485" s="73">
        <v>12</v>
      </c>
      <c r="C1485" s="73"/>
      <c r="D1485" s="180" t="s">
        <v>397</v>
      </c>
      <c r="E1485" s="39">
        <v>43597</v>
      </c>
      <c r="F1485" s="179">
        <v>0.89583333333333337</v>
      </c>
      <c r="G1485" s="180">
        <v>6</v>
      </c>
      <c r="H1485" s="180"/>
      <c r="I1485" s="180"/>
      <c r="J1485" s="180"/>
      <c r="K1485" s="180"/>
      <c r="L1485" s="180"/>
      <c r="M1485" s="180"/>
      <c r="N1485" s="180"/>
      <c r="O1485" s="180"/>
      <c r="P1485" s="180"/>
    </row>
    <row r="1486" spans="1:16" x14ac:dyDescent="0.45">
      <c r="A1486" s="180" t="s">
        <v>11</v>
      </c>
      <c r="B1486" s="73">
        <v>1700</v>
      </c>
      <c r="C1486" s="73"/>
      <c r="D1486" s="180" t="s">
        <v>128</v>
      </c>
      <c r="E1486" s="39">
        <v>43597</v>
      </c>
      <c r="F1486" s="179">
        <v>0.77430555555555547</v>
      </c>
      <c r="G1486" s="180">
        <v>6</v>
      </c>
      <c r="H1486" s="180"/>
      <c r="I1486" s="180"/>
      <c r="J1486" s="180"/>
      <c r="K1486" s="180"/>
      <c r="L1486" s="180"/>
      <c r="M1486" s="180"/>
      <c r="N1486" s="180"/>
      <c r="O1486" s="180"/>
      <c r="P1486" s="180"/>
    </row>
    <row r="1487" spans="1:16" x14ac:dyDescent="0.45">
      <c r="A1487" s="180" t="s">
        <v>11</v>
      </c>
      <c r="B1487" s="73">
        <v>675</v>
      </c>
      <c r="C1487" s="73"/>
      <c r="D1487" s="180" t="s">
        <v>367</v>
      </c>
      <c r="E1487" s="39">
        <v>43597</v>
      </c>
      <c r="F1487" s="179">
        <v>0.41597222222222219</v>
      </c>
      <c r="G1487" s="180">
        <v>1</v>
      </c>
      <c r="H1487" s="180"/>
      <c r="I1487" s="180"/>
      <c r="J1487" s="180"/>
      <c r="K1487" s="180"/>
      <c r="L1487" s="180"/>
      <c r="M1487" s="180"/>
      <c r="N1487" s="180"/>
      <c r="O1487" s="180"/>
      <c r="P1487" s="180"/>
    </row>
    <row r="1488" spans="1:16" x14ac:dyDescent="0.45">
      <c r="A1488" s="180" t="s">
        <v>11</v>
      </c>
      <c r="B1488" s="73">
        <v>800</v>
      </c>
      <c r="C1488" s="73">
        <v>800</v>
      </c>
      <c r="D1488" s="180" t="s">
        <v>332</v>
      </c>
      <c r="E1488" s="39">
        <v>43597</v>
      </c>
      <c r="F1488" s="179">
        <v>0.375</v>
      </c>
      <c r="G1488" s="180">
        <v>1</v>
      </c>
      <c r="H1488" s="180" t="s">
        <v>399</v>
      </c>
      <c r="I1488" s="180"/>
      <c r="J1488" s="180"/>
      <c r="K1488" s="180"/>
      <c r="L1488" s="180"/>
      <c r="M1488" s="180"/>
      <c r="N1488" s="180"/>
      <c r="O1488" s="180"/>
      <c r="P1488" s="180"/>
    </row>
    <row r="1489" spans="1:16" x14ac:dyDescent="0.45">
      <c r="A1489" s="180" t="s">
        <v>11</v>
      </c>
      <c r="B1489" s="73">
        <v>800</v>
      </c>
      <c r="C1489" s="73"/>
      <c r="D1489" s="180" t="s">
        <v>332</v>
      </c>
      <c r="E1489" s="39">
        <v>43597</v>
      </c>
      <c r="F1489" s="179">
        <v>0.38263888888888892</v>
      </c>
      <c r="G1489" s="180">
        <v>1</v>
      </c>
      <c r="H1489" s="180" t="s">
        <v>333</v>
      </c>
      <c r="I1489" s="180"/>
      <c r="J1489" s="180"/>
      <c r="K1489" s="180"/>
      <c r="L1489" s="180"/>
      <c r="M1489" s="180"/>
      <c r="N1489" s="180"/>
      <c r="O1489" s="180"/>
      <c r="P1489" s="180"/>
    </row>
    <row r="1490" spans="1:16" x14ac:dyDescent="0.45">
      <c r="A1490" s="180" t="s">
        <v>11</v>
      </c>
      <c r="B1490" s="73">
        <v>700</v>
      </c>
      <c r="C1490" s="73"/>
      <c r="D1490" s="180" t="s">
        <v>332</v>
      </c>
      <c r="E1490" s="39">
        <v>43597</v>
      </c>
      <c r="F1490" s="179">
        <v>0.38819444444444445</v>
      </c>
      <c r="G1490" s="180">
        <v>1</v>
      </c>
      <c r="H1490" s="180"/>
      <c r="I1490" s="180"/>
      <c r="J1490" s="180"/>
      <c r="K1490" s="180"/>
      <c r="L1490" s="180"/>
      <c r="M1490" s="180"/>
      <c r="N1490" s="180"/>
      <c r="O1490" s="180"/>
      <c r="P1490" s="180"/>
    </row>
    <row r="1491" spans="1:16" x14ac:dyDescent="0.45">
      <c r="A1491" s="180" t="s">
        <v>11</v>
      </c>
      <c r="B1491" s="73">
        <v>800</v>
      </c>
      <c r="C1491" s="73"/>
      <c r="D1491" s="180" t="s">
        <v>332</v>
      </c>
      <c r="E1491" s="39">
        <v>43597</v>
      </c>
      <c r="F1491" s="179">
        <v>0.35138888888888892</v>
      </c>
      <c r="G1491" s="180">
        <v>1</v>
      </c>
      <c r="H1491" s="180"/>
      <c r="I1491" s="180"/>
      <c r="J1491" s="180"/>
      <c r="K1491" s="180"/>
      <c r="L1491" s="180"/>
      <c r="M1491" s="180"/>
      <c r="N1491" s="180"/>
      <c r="O1491" s="180"/>
      <c r="P1491" s="180"/>
    </row>
    <row r="1492" spans="1:16" x14ac:dyDescent="0.45">
      <c r="A1492" s="180" t="s">
        <v>11</v>
      </c>
      <c r="B1492" s="73">
        <v>1750</v>
      </c>
      <c r="C1492" s="73">
        <v>1750</v>
      </c>
      <c r="D1492" s="180" t="s">
        <v>311</v>
      </c>
      <c r="E1492" s="39">
        <v>43597</v>
      </c>
      <c r="F1492" s="179">
        <v>0.52083333333333337</v>
      </c>
      <c r="G1492" s="180">
        <v>1</v>
      </c>
      <c r="H1492" s="180" t="s">
        <v>400</v>
      </c>
      <c r="I1492" s="180"/>
      <c r="J1492" s="180"/>
      <c r="K1492" s="180"/>
      <c r="L1492" s="180"/>
      <c r="M1492" s="180"/>
      <c r="N1492" s="180"/>
      <c r="O1492" s="180"/>
      <c r="P1492" s="180"/>
    </row>
    <row r="1493" spans="1:16" x14ac:dyDescent="0.45">
      <c r="A1493" s="180" t="s">
        <v>11</v>
      </c>
      <c r="B1493" s="73">
        <v>500</v>
      </c>
      <c r="C1493" s="73">
        <v>500</v>
      </c>
      <c r="D1493" s="180" t="s">
        <v>309</v>
      </c>
      <c r="E1493" s="39">
        <v>43597</v>
      </c>
      <c r="F1493" s="179">
        <v>0.3840277777777778</v>
      </c>
      <c r="G1493" s="180">
        <v>1</v>
      </c>
      <c r="H1493" s="180"/>
      <c r="I1493" s="180"/>
      <c r="J1493" s="180"/>
      <c r="K1493" s="180"/>
      <c r="L1493" s="180"/>
      <c r="M1493" s="180"/>
      <c r="N1493" s="180"/>
      <c r="O1493" s="180"/>
      <c r="P1493" s="180"/>
    </row>
    <row r="1494" spans="1:16" x14ac:dyDescent="0.45">
      <c r="A1494" s="180" t="s">
        <v>11</v>
      </c>
      <c r="B1494" s="73">
        <v>130</v>
      </c>
      <c r="C1494" s="73"/>
      <c r="D1494" s="180" t="s">
        <v>309</v>
      </c>
      <c r="E1494" s="39">
        <v>43597</v>
      </c>
      <c r="F1494" s="179">
        <v>0.36319444444444443</v>
      </c>
      <c r="G1494" s="180">
        <v>1</v>
      </c>
      <c r="H1494" s="180"/>
      <c r="I1494" s="180"/>
      <c r="J1494" s="180"/>
      <c r="K1494" s="180"/>
      <c r="L1494" s="180"/>
      <c r="M1494" s="180"/>
      <c r="N1494" s="180"/>
      <c r="O1494" s="180"/>
      <c r="P1494" s="180"/>
    </row>
    <row r="1495" spans="1:16" x14ac:dyDescent="0.45">
      <c r="A1495" s="180" t="s">
        <v>11</v>
      </c>
      <c r="B1495" s="73">
        <v>3</v>
      </c>
      <c r="C1495" s="73"/>
      <c r="D1495" s="180" t="s">
        <v>425</v>
      </c>
      <c r="E1495" s="39">
        <v>43597</v>
      </c>
      <c r="F1495" s="179">
        <v>0.72569444444444453</v>
      </c>
      <c r="G1495" s="180">
        <v>6</v>
      </c>
      <c r="H1495" s="180" t="s">
        <v>447</v>
      </c>
      <c r="I1495" s="180"/>
      <c r="J1495" s="180"/>
      <c r="K1495" s="180"/>
      <c r="L1495" s="180"/>
      <c r="M1495" s="180"/>
      <c r="N1495" s="180"/>
      <c r="O1495" s="180"/>
      <c r="P1495" s="180"/>
    </row>
    <row r="1496" spans="1:16" x14ac:dyDescent="0.45">
      <c r="A1496" s="180" t="s">
        <v>11</v>
      </c>
      <c r="B1496" s="73">
        <v>5</v>
      </c>
      <c r="C1496" s="73"/>
      <c r="D1496" s="180" t="s">
        <v>296</v>
      </c>
      <c r="E1496" s="39">
        <v>43597</v>
      </c>
      <c r="F1496" s="179">
        <v>0.31805555555555554</v>
      </c>
      <c r="G1496" s="180">
        <v>1</v>
      </c>
      <c r="H1496" s="180"/>
      <c r="I1496" s="180"/>
      <c r="J1496" s="180"/>
      <c r="K1496" s="180"/>
      <c r="L1496" s="180"/>
      <c r="M1496" s="180"/>
      <c r="N1496" s="180"/>
      <c r="O1496" s="180"/>
      <c r="P1496" s="180"/>
    </row>
    <row r="1497" spans="1:16" x14ac:dyDescent="0.45">
      <c r="A1497" s="180" t="s">
        <v>11</v>
      </c>
      <c r="B1497" s="73">
        <v>9</v>
      </c>
      <c r="C1497" s="73">
        <v>9</v>
      </c>
      <c r="D1497" s="180" t="s">
        <v>296</v>
      </c>
      <c r="E1497" s="39">
        <v>43597</v>
      </c>
      <c r="F1497" s="179">
        <v>0.27361111111111108</v>
      </c>
      <c r="G1497" s="180">
        <v>6</v>
      </c>
      <c r="H1497" s="180" t="s">
        <v>297</v>
      </c>
      <c r="I1497" s="180"/>
      <c r="J1497" s="180"/>
      <c r="K1497" s="180"/>
      <c r="L1497" s="180"/>
      <c r="M1497" s="180"/>
      <c r="N1497" s="180"/>
      <c r="O1497" s="180"/>
      <c r="P1497" s="180"/>
    </row>
    <row r="1498" spans="1:16" x14ac:dyDescent="0.45">
      <c r="A1498" s="180" t="s">
        <v>11</v>
      </c>
      <c r="B1498" s="73">
        <v>100</v>
      </c>
      <c r="C1498" s="73"/>
      <c r="D1498" s="180" t="s">
        <v>271</v>
      </c>
      <c r="E1498" s="39">
        <v>43597</v>
      </c>
      <c r="F1498" s="179">
        <v>0.375</v>
      </c>
      <c r="G1498" s="180">
        <v>9</v>
      </c>
      <c r="H1498" s="180"/>
      <c r="I1498" s="180"/>
      <c r="J1498" s="180"/>
      <c r="K1498" s="180"/>
      <c r="L1498" s="180"/>
      <c r="M1498" s="180"/>
      <c r="N1498" s="180"/>
      <c r="O1498" s="180"/>
      <c r="P1498" s="180"/>
    </row>
    <row r="1499" spans="1:16" x14ac:dyDescent="0.45">
      <c r="A1499" s="180" t="s">
        <v>11</v>
      </c>
      <c r="B1499" s="73">
        <v>150</v>
      </c>
      <c r="C1499" s="73"/>
      <c r="D1499" s="180" t="s">
        <v>271</v>
      </c>
      <c r="E1499" s="39">
        <v>43597</v>
      </c>
      <c r="F1499" s="179">
        <v>0.66666666666666663</v>
      </c>
      <c r="G1499" s="180">
        <v>2</v>
      </c>
      <c r="H1499" s="180"/>
      <c r="I1499" s="180"/>
      <c r="J1499" s="180"/>
      <c r="K1499" s="180"/>
      <c r="L1499" s="180"/>
      <c r="M1499" s="180"/>
      <c r="N1499" s="180"/>
      <c r="O1499" s="180"/>
      <c r="P1499" s="180"/>
    </row>
    <row r="1500" spans="1:16" x14ac:dyDescent="0.45">
      <c r="A1500" s="180" t="s">
        <v>11</v>
      </c>
      <c r="B1500" s="73">
        <v>35</v>
      </c>
      <c r="C1500" s="73"/>
      <c r="D1500" s="180" t="s">
        <v>271</v>
      </c>
      <c r="E1500" s="39">
        <v>43597</v>
      </c>
      <c r="F1500" s="179">
        <v>0.42708333333333331</v>
      </c>
      <c r="G1500" s="180">
        <v>1</v>
      </c>
      <c r="H1500" s="180"/>
      <c r="I1500" s="180"/>
      <c r="J1500" s="180"/>
      <c r="K1500" s="180"/>
      <c r="L1500" s="180"/>
      <c r="M1500" s="180"/>
      <c r="N1500" s="180"/>
      <c r="O1500" s="180"/>
      <c r="P1500" s="180"/>
    </row>
    <row r="1501" spans="1:16" x14ac:dyDescent="0.45">
      <c r="A1501" s="180" t="s">
        <v>11</v>
      </c>
      <c r="B1501" s="73">
        <v>100</v>
      </c>
      <c r="C1501" s="73"/>
      <c r="D1501" s="180" t="s">
        <v>271</v>
      </c>
      <c r="E1501" s="39">
        <v>43597</v>
      </c>
      <c r="F1501" s="179">
        <v>0.375</v>
      </c>
      <c r="G1501" s="180">
        <v>9</v>
      </c>
      <c r="H1501" s="180"/>
      <c r="I1501" s="180"/>
      <c r="J1501" s="180"/>
      <c r="K1501" s="180"/>
      <c r="L1501" s="180"/>
      <c r="M1501" s="180"/>
      <c r="N1501" s="180"/>
      <c r="O1501" s="180"/>
      <c r="P1501" s="180"/>
    </row>
    <row r="1502" spans="1:16" x14ac:dyDescent="0.45">
      <c r="A1502" s="180" t="s">
        <v>11</v>
      </c>
      <c r="B1502" s="73">
        <v>200</v>
      </c>
      <c r="C1502" s="73">
        <v>200</v>
      </c>
      <c r="D1502" s="180" t="s">
        <v>271</v>
      </c>
      <c r="E1502" s="39">
        <v>43597</v>
      </c>
      <c r="F1502" s="179">
        <v>0.41111111111111115</v>
      </c>
      <c r="G1502" s="180">
        <v>1</v>
      </c>
      <c r="H1502" s="180"/>
      <c r="I1502" s="180"/>
      <c r="J1502" s="180"/>
      <c r="K1502" s="180"/>
      <c r="L1502" s="180"/>
      <c r="M1502" s="180"/>
      <c r="N1502" s="180"/>
      <c r="O1502" s="180"/>
      <c r="P1502" s="180"/>
    </row>
    <row r="1503" spans="1:16" x14ac:dyDescent="0.45">
      <c r="A1503" s="180" t="s">
        <v>11</v>
      </c>
      <c r="B1503" s="73">
        <v>100</v>
      </c>
      <c r="C1503" s="73"/>
      <c r="D1503" s="180" t="s">
        <v>271</v>
      </c>
      <c r="E1503" s="39">
        <v>43597</v>
      </c>
      <c r="F1503" s="179">
        <v>0.375</v>
      </c>
      <c r="G1503" s="180">
        <v>9</v>
      </c>
      <c r="H1503" s="180"/>
      <c r="I1503" s="180"/>
      <c r="J1503" s="180"/>
      <c r="K1503" s="180"/>
      <c r="L1503" s="180"/>
      <c r="M1503" s="180"/>
      <c r="N1503" s="180"/>
      <c r="O1503" s="180"/>
      <c r="P1503" s="180"/>
    </row>
    <row r="1504" spans="1:16" x14ac:dyDescent="0.45">
      <c r="A1504" s="180" t="s">
        <v>11</v>
      </c>
      <c r="B1504" s="73">
        <v>100</v>
      </c>
      <c r="C1504" s="73"/>
      <c r="D1504" s="180" t="s">
        <v>271</v>
      </c>
      <c r="E1504" s="39">
        <v>43597</v>
      </c>
      <c r="F1504" s="179">
        <v>0.375</v>
      </c>
      <c r="G1504" s="180">
        <v>9</v>
      </c>
      <c r="H1504" s="180"/>
      <c r="I1504" s="180" t="s">
        <v>558</v>
      </c>
      <c r="J1504" s="180"/>
      <c r="K1504" s="180"/>
      <c r="L1504" s="180"/>
      <c r="M1504" s="180"/>
      <c r="N1504" s="180"/>
      <c r="O1504" s="180"/>
      <c r="P1504" s="180"/>
    </row>
    <row r="1505" spans="1:16" x14ac:dyDescent="0.45">
      <c r="A1505" s="180" t="s">
        <v>11</v>
      </c>
      <c r="B1505" s="73">
        <v>163</v>
      </c>
      <c r="C1505" s="73">
        <v>163</v>
      </c>
      <c r="D1505" s="180" t="s">
        <v>288</v>
      </c>
      <c r="E1505" s="39">
        <v>43597</v>
      </c>
      <c r="F1505" s="179">
        <v>0.50763888888888886</v>
      </c>
      <c r="G1505" s="180">
        <v>8</v>
      </c>
      <c r="H1505" s="180" t="s">
        <v>401</v>
      </c>
      <c r="I1505" s="180" t="s">
        <v>559</v>
      </c>
      <c r="J1505" s="180"/>
      <c r="K1505" s="180"/>
      <c r="L1505" s="180"/>
      <c r="M1505" s="180"/>
      <c r="N1505" s="180"/>
      <c r="O1505" s="180"/>
      <c r="P1505" s="180"/>
    </row>
    <row r="1506" spans="1:16" x14ac:dyDescent="0.45">
      <c r="A1506" s="180" t="s">
        <v>11</v>
      </c>
      <c r="B1506" s="73">
        <v>163</v>
      </c>
      <c r="C1506" s="73"/>
      <c r="D1506" s="180" t="s">
        <v>288</v>
      </c>
      <c r="E1506" s="39">
        <v>43597</v>
      </c>
      <c r="F1506" s="179">
        <v>0.50763888888888886</v>
      </c>
      <c r="G1506" s="180">
        <v>8</v>
      </c>
      <c r="H1506" s="180" t="s">
        <v>401</v>
      </c>
      <c r="I1506" s="180" t="s">
        <v>560</v>
      </c>
      <c r="J1506" s="180"/>
      <c r="K1506" s="180"/>
      <c r="L1506" s="180"/>
      <c r="M1506" s="180"/>
      <c r="N1506" s="180"/>
      <c r="O1506" s="180"/>
      <c r="P1506" s="180"/>
    </row>
    <row r="1507" spans="1:16" x14ac:dyDescent="0.45">
      <c r="A1507" s="180" t="s">
        <v>11</v>
      </c>
      <c r="B1507" s="73">
        <v>150</v>
      </c>
      <c r="C1507" s="73"/>
      <c r="D1507" s="180" t="s">
        <v>397</v>
      </c>
      <c r="E1507" s="39">
        <v>43598</v>
      </c>
      <c r="F1507" s="179">
        <v>0.47916666666666669</v>
      </c>
      <c r="G1507" s="180">
        <v>6</v>
      </c>
      <c r="H1507" s="180"/>
      <c r="I1507" s="180"/>
      <c r="J1507" s="180"/>
      <c r="K1507" s="180"/>
      <c r="L1507" s="180"/>
      <c r="M1507" s="180"/>
      <c r="N1507" s="180"/>
      <c r="O1507" s="180"/>
      <c r="P1507" s="180"/>
    </row>
    <row r="1508" spans="1:16" x14ac:dyDescent="0.45">
      <c r="A1508" s="180" t="s">
        <v>11</v>
      </c>
      <c r="B1508" s="73">
        <v>800</v>
      </c>
      <c r="C1508" s="73"/>
      <c r="D1508" s="180" t="s">
        <v>128</v>
      </c>
      <c r="E1508" s="39">
        <v>43598</v>
      </c>
      <c r="F1508" s="179">
        <v>0.38541666666666669</v>
      </c>
      <c r="G1508" s="180">
        <v>6</v>
      </c>
      <c r="H1508" s="180" t="s">
        <v>402</v>
      </c>
      <c r="I1508" s="180"/>
      <c r="J1508" s="180"/>
      <c r="K1508" s="180"/>
      <c r="L1508" s="180"/>
      <c r="M1508" s="180"/>
      <c r="N1508" s="180"/>
      <c r="O1508" s="180"/>
      <c r="P1508" s="180"/>
    </row>
    <row r="1509" spans="1:16" x14ac:dyDescent="0.45">
      <c r="A1509" s="180" t="s">
        <v>11</v>
      </c>
      <c r="B1509" s="73">
        <v>180</v>
      </c>
      <c r="C1509" s="73"/>
      <c r="D1509" s="180" t="s">
        <v>317</v>
      </c>
      <c r="E1509" s="39">
        <v>43598</v>
      </c>
      <c r="F1509" s="179">
        <v>0.42569444444444443</v>
      </c>
      <c r="G1509" s="180">
        <v>4</v>
      </c>
      <c r="H1509" s="180" t="s">
        <v>336</v>
      </c>
      <c r="I1509" s="180" t="s">
        <v>558</v>
      </c>
      <c r="J1509" s="180"/>
      <c r="K1509" s="180"/>
      <c r="L1509" s="180"/>
      <c r="M1509" s="180"/>
      <c r="N1509" s="180"/>
      <c r="O1509" s="180"/>
      <c r="P1509" s="180"/>
    </row>
    <row r="1510" spans="1:16" x14ac:dyDescent="0.45">
      <c r="A1510" s="180" t="s">
        <v>11</v>
      </c>
      <c r="B1510" s="73">
        <v>150</v>
      </c>
      <c r="C1510" s="73">
        <v>150</v>
      </c>
      <c r="D1510" s="180" t="s">
        <v>332</v>
      </c>
      <c r="E1510" s="39">
        <v>43598</v>
      </c>
      <c r="F1510" s="179">
        <v>0.42708333333333331</v>
      </c>
      <c r="G1510" s="180">
        <v>1</v>
      </c>
      <c r="H1510" s="180" t="s">
        <v>368</v>
      </c>
      <c r="I1510" s="180" t="s">
        <v>561</v>
      </c>
      <c r="J1510" s="180"/>
      <c r="K1510" s="180"/>
      <c r="L1510" s="180"/>
      <c r="M1510" s="180"/>
      <c r="N1510" s="180"/>
      <c r="O1510" s="180"/>
      <c r="P1510" s="180"/>
    </row>
    <row r="1511" spans="1:16" x14ac:dyDescent="0.45">
      <c r="A1511" s="180" t="s">
        <v>11</v>
      </c>
      <c r="B1511" s="73">
        <v>150</v>
      </c>
      <c r="C1511" s="73"/>
      <c r="D1511" s="180" t="s">
        <v>332</v>
      </c>
      <c r="E1511" s="39">
        <v>43598</v>
      </c>
      <c r="F1511" s="179">
        <v>0.42708333333333331</v>
      </c>
      <c r="G1511" s="180">
        <v>1</v>
      </c>
      <c r="H1511" s="180" t="s">
        <v>368</v>
      </c>
      <c r="I1511" s="180"/>
      <c r="J1511" s="180"/>
      <c r="K1511" s="180"/>
      <c r="L1511" s="180"/>
      <c r="M1511" s="180"/>
      <c r="N1511" s="180"/>
      <c r="O1511" s="180"/>
      <c r="P1511" s="180"/>
    </row>
    <row r="1512" spans="1:16" x14ac:dyDescent="0.45">
      <c r="A1512" s="180" t="s">
        <v>11</v>
      </c>
      <c r="B1512" s="73">
        <v>180</v>
      </c>
      <c r="C1512" s="73">
        <v>180</v>
      </c>
      <c r="D1512" s="180" t="s">
        <v>311</v>
      </c>
      <c r="E1512" s="39">
        <v>43598</v>
      </c>
      <c r="F1512" s="179">
        <v>0.42708333333333331</v>
      </c>
      <c r="G1512" s="180">
        <v>8</v>
      </c>
      <c r="H1512" s="180" t="s">
        <v>337</v>
      </c>
      <c r="I1512" s="180"/>
      <c r="J1512" s="180"/>
      <c r="K1512" s="180"/>
      <c r="L1512" s="180"/>
      <c r="M1512" s="180"/>
      <c r="N1512" s="180"/>
      <c r="O1512" s="180"/>
      <c r="P1512" s="180"/>
    </row>
    <row r="1513" spans="1:16" x14ac:dyDescent="0.45">
      <c r="A1513" s="180" t="s">
        <v>11</v>
      </c>
      <c r="B1513" s="73">
        <v>101</v>
      </c>
      <c r="C1513" s="73">
        <v>101</v>
      </c>
      <c r="D1513" s="180" t="s">
        <v>309</v>
      </c>
      <c r="E1513" s="39">
        <v>43598</v>
      </c>
      <c r="F1513" s="179">
        <v>0.42708333333333331</v>
      </c>
      <c r="G1513" s="180">
        <v>2</v>
      </c>
      <c r="H1513" s="180" t="s">
        <v>403</v>
      </c>
      <c r="I1513" s="180"/>
      <c r="J1513" s="180"/>
      <c r="K1513" s="180"/>
      <c r="L1513" s="180"/>
      <c r="M1513" s="180"/>
      <c r="N1513" s="180"/>
      <c r="O1513" s="180"/>
      <c r="P1513" s="180"/>
    </row>
    <row r="1514" spans="1:16" x14ac:dyDescent="0.45">
      <c r="A1514" s="180" t="s">
        <v>11</v>
      </c>
      <c r="B1514" s="73">
        <v>1</v>
      </c>
      <c r="C1514" s="73"/>
      <c r="D1514" s="180" t="s">
        <v>425</v>
      </c>
      <c r="E1514" s="39">
        <v>43598</v>
      </c>
      <c r="F1514" s="179">
        <v>0.34375</v>
      </c>
      <c r="G1514" s="180">
        <v>6</v>
      </c>
      <c r="H1514" s="180" t="s">
        <v>451</v>
      </c>
      <c r="I1514" s="180"/>
      <c r="J1514" s="180"/>
      <c r="K1514" s="180"/>
      <c r="L1514" s="180"/>
      <c r="M1514" s="180"/>
      <c r="N1514" s="180"/>
      <c r="O1514" s="180"/>
      <c r="P1514" s="180"/>
    </row>
    <row r="1515" spans="1:16" x14ac:dyDescent="0.45">
      <c r="A1515" s="180" t="s">
        <v>11</v>
      </c>
      <c r="B1515" s="73">
        <v>9</v>
      </c>
      <c r="C1515" s="73"/>
      <c r="D1515" s="180" t="s">
        <v>271</v>
      </c>
      <c r="E1515" s="39">
        <v>43598</v>
      </c>
      <c r="F1515" s="179">
        <v>0.32083333333333336</v>
      </c>
      <c r="G1515" s="180">
        <v>2</v>
      </c>
      <c r="H1515" s="180"/>
      <c r="I1515" s="180"/>
      <c r="J1515" s="180"/>
      <c r="K1515" s="180"/>
      <c r="L1515" s="180"/>
      <c r="M1515" s="180"/>
      <c r="N1515" s="180"/>
      <c r="O1515" s="180"/>
      <c r="P1515" s="180"/>
    </row>
    <row r="1516" spans="1:16" x14ac:dyDescent="0.45">
      <c r="A1516" s="180" t="s">
        <v>11</v>
      </c>
      <c r="B1516" s="73">
        <v>200</v>
      </c>
      <c r="C1516" s="73">
        <v>200</v>
      </c>
      <c r="D1516" s="180" t="s">
        <v>271</v>
      </c>
      <c r="E1516" s="39">
        <v>43598</v>
      </c>
      <c r="F1516" s="179">
        <v>0.42708333333333331</v>
      </c>
      <c r="G1516" s="180">
        <v>3</v>
      </c>
      <c r="H1516" s="180" t="s">
        <v>404</v>
      </c>
      <c r="I1516" s="180"/>
      <c r="J1516" s="180"/>
      <c r="K1516" s="180"/>
      <c r="L1516" s="180"/>
      <c r="M1516" s="180"/>
      <c r="N1516" s="180"/>
      <c r="O1516" s="180"/>
      <c r="P1516" s="180"/>
    </row>
    <row r="1517" spans="1:16" x14ac:dyDescent="0.45">
      <c r="A1517" s="180" t="s">
        <v>11</v>
      </c>
      <c r="B1517" s="73">
        <v>50</v>
      </c>
      <c r="C1517" s="73"/>
      <c r="D1517" s="180" t="s">
        <v>271</v>
      </c>
      <c r="E1517" s="39">
        <v>43598</v>
      </c>
      <c r="F1517" s="179">
        <v>0.5131944444444444</v>
      </c>
      <c r="G1517" s="180">
        <v>1</v>
      </c>
      <c r="H1517" s="180"/>
      <c r="I1517" s="180"/>
      <c r="J1517" s="180"/>
      <c r="K1517" s="180"/>
      <c r="L1517" s="180"/>
      <c r="M1517" s="180"/>
      <c r="N1517" s="180"/>
      <c r="O1517" s="180"/>
      <c r="P1517" s="180"/>
    </row>
    <row r="1518" spans="1:16" x14ac:dyDescent="0.45">
      <c r="A1518" s="180" t="s">
        <v>11</v>
      </c>
      <c r="B1518" s="73">
        <v>60</v>
      </c>
      <c r="C1518" s="73">
        <v>60</v>
      </c>
      <c r="D1518" s="180" t="s">
        <v>422</v>
      </c>
      <c r="E1518" s="39">
        <v>43598</v>
      </c>
      <c r="F1518" s="179">
        <v>0.44513888888888892</v>
      </c>
      <c r="G1518" s="180">
        <v>1</v>
      </c>
      <c r="H1518" s="180" t="s">
        <v>453</v>
      </c>
      <c r="I1518" s="180"/>
      <c r="J1518" s="180"/>
      <c r="K1518" s="180"/>
      <c r="L1518" s="180"/>
      <c r="M1518" s="180"/>
      <c r="N1518" s="180"/>
      <c r="O1518" s="180"/>
      <c r="P1518" s="180"/>
    </row>
    <row r="1519" spans="1:16" x14ac:dyDescent="0.45">
      <c r="A1519" s="180" t="s">
        <v>11</v>
      </c>
      <c r="B1519" s="73">
        <v>60</v>
      </c>
      <c r="C1519" s="73"/>
      <c r="D1519" s="180" t="s">
        <v>422</v>
      </c>
      <c r="E1519" s="39">
        <v>43598</v>
      </c>
      <c r="F1519" s="179">
        <v>0.44513888888888892</v>
      </c>
      <c r="G1519" s="180">
        <v>1</v>
      </c>
      <c r="H1519" s="180" t="s">
        <v>453</v>
      </c>
      <c r="I1519" s="180"/>
      <c r="J1519" s="180"/>
      <c r="K1519" s="180"/>
      <c r="L1519" s="180"/>
      <c r="M1519" s="180"/>
      <c r="N1519" s="180"/>
      <c r="O1519" s="180"/>
      <c r="P1519" s="180"/>
    </row>
    <row r="1520" spans="1:16" x14ac:dyDescent="0.45">
      <c r="A1520" s="180" t="s">
        <v>11</v>
      </c>
      <c r="B1520" s="73">
        <v>18</v>
      </c>
      <c r="C1520" s="73">
        <v>18</v>
      </c>
      <c r="D1520" s="180" t="s">
        <v>311</v>
      </c>
      <c r="E1520" s="39">
        <v>43599</v>
      </c>
      <c r="F1520" s="179">
        <v>0.47361111111111115</v>
      </c>
      <c r="G1520" s="180">
        <v>1</v>
      </c>
      <c r="H1520" s="180"/>
      <c r="I1520" s="180"/>
      <c r="J1520" s="180"/>
      <c r="K1520" s="180"/>
      <c r="L1520" s="180"/>
      <c r="M1520" s="180"/>
      <c r="N1520" s="180"/>
      <c r="O1520" s="180"/>
      <c r="P1520" s="180"/>
    </row>
    <row r="1521" spans="1:16" x14ac:dyDescent="0.45">
      <c r="A1521" s="180" t="s">
        <v>11</v>
      </c>
      <c r="B1521" s="73">
        <v>200</v>
      </c>
      <c r="C1521" s="73">
        <v>200</v>
      </c>
      <c r="D1521" s="180" t="s">
        <v>309</v>
      </c>
      <c r="E1521" s="39">
        <v>43599</v>
      </c>
      <c r="F1521" s="179">
        <v>0.48958333333333331</v>
      </c>
      <c r="G1521" s="180">
        <v>1</v>
      </c>
      <c r="H1521" s="180"/>
      <c r="I1521" s="180"/>
      <c r="J1521" s="180"/>
      <c r="K1521" s="180"/>
      <c r="L1521" s="180"/>
      <c r="M1521" s="180"/>
      <c r="N1521" s="180"/>
      <c r="O1521" s="180"/>
      <c r="P1521" s="180"/>
    </row>
    <row r="1522" spans="1:16" x14ac:dyDescent="0.45">
      <c r="A1522" s="180" t="s">
        <v>11</v>
      </c>
      <c r="B1522" s="73">
        <v>4</v>
      </c>
      <c r="C1522" s="73"/>
      <c r="D1522" s="180" t="s">
        <v>271</v>
      </c>
      <c r="E1522" s="39">
        <v>43599</v>
      </c>
      <c r="F1522" s="179">
        <v>0.50347222222222221</v>
      </c>
      <c r="G1522" s="180">
        <v>1</v>
      </c>
      <c r="H1522" s="180"/>
      <c r="I1522" s="180"/>
      <c r="J1522" s="180"/>
      <c r="K1522" s="180"/>
      <c r="L1522" s="180"/>
      <c r="M1522" s="180"/>
      <c r="N1522" s="180"/>
      <c r="O1522" s="180"/>
      <c r="P1522" s="180"/>
    </row>
    <row r="1523" spans="1:16" x14ac:dyDescent="0.45">
      <c r="A1523" s="180" t="s">
        <v>11</v>
      </c>
      <c r="B1523" s="73">
        <v>40</v>
      </c>
      <c r="C1523" s="73">
        <v>40</v>
      </c>
      <c r="D1523" s="180" t="s">
        <v>271</v>
      </c>
      <c r="E1523" s="39">
        <v>43599</v>
      </c>
      <c r="F1523" s="179">
        <v>0.59305555555555556</v>
      </c>
      <c r="G1523" s="180">
        <v>1</v>
      </c>
      <c r="H1523" s="180"/>
      <c r="I1523" s="180"/>
      <c r="J1523" s="180"/>
      <c r="K1523" s="180"/>
      <c r="L1523" s="180"/>
      <c r="M1523" s="180"/>
      <c r="N1523" s="180"/>
      <c r="O1523" s="180"/>
      <c r="P1523" s="180"/>
    </row>
    <row r="1524" spans="1:16" x14ac:dyDescent="0.45">
      <c r="A1524" s="180" t="s">
        <v>11</v>
      </c>
      <c r="B1524" s="73">
        <v>40</v>
      </c>
      <c r="C1524" s="73"/>
      <c r="D1524" s="180" t="s">
        <v>271</v>
      </c>
      <c r="E1524" s="39">
        <v>43599</v>
      </c>
      <c r="F1524" s="179">
        <v>0.42708333333333331</v>
      </c>
      <c r="G1524" s="180">
        <v>1</v>
      </c>
      <c r="H1524" s="180"/>
      <c r="I1524" s="180"/>
      <c r="J1524" s="180"/>
      <c r="K1524" s="180"/>
      <c r="L1524" s="180"/>
      <c r="M1524" s="180"/>
      <c r="N1524" s="180"/>
      <c r="O1524" s="180"/>
      <c r="P1524" s="180"/>
    </row>
    <row r="1525" spans="1:16" x14ac:dyDescent="0.45">
      <c r="A1525" s="180" t="s">
        <v>11</v>
      </c>
      <c r="B1525" s="73">
        <v>20</v>
      </c>
      <c r="C1525" s="73">
        <v>20</v>
      </c>
      <c r="D1525" s="180" t="s">
        <v>370</v>
      </c>
      <c r="E1525" s="39">
        <v>43600</v>
      </c>
      <c r="F1525" s="179">
        <v>0.42708333333333331</v>
      </c>
      <c r="G1525" s="180">
        <v>1</v>
      </c>
      <c r="H1525" s="180"/>
      <c r="I1525" s="180"/>
      <c r="J1525" s="180"/>
      <c r="K1525" s="180"/>
      <c r="L1525" s="180"/>
      <c r="M1525" s="180"/>
      <c r="N1525" s="180"/>
      <c r="O1525" s="180"/>
      <c r="P1525" s="180"/>
    </row>
    <row r="1526" spans="1:16" x14ac:dyDescent="0.45">
      <c r="A1526" s="180" t="s">
        <v>11</v>
      </c>
      <c r="B1526" s="73">
        <v>500</v>
      </c>
      <c r="C1526" s="73">
        <v>500</v>
      </c>
      <c r="D1526" s="180" t="s">
        <v>309</v>
      </c>
      <c r="E1526" s="39">
        <v>43601</v>
      </c>
      <c r="F1526" s="179">
        <v>0.54166666666666663</v>
      </c>
      <c r="G1526" s="180">
        <v>1</v>
      </c>
      <c r="H1526" s="180"/>
      <c r="I1526" s="180"/>
      <c r="J1526" s="180"/>
      <c r="K1526" s="180"/>
      <c r="L1526" s="180"/>
      <c r="M1526" s="180"/>
      <c r="N1526" s="180"/>
      <c r="O1526" s="180"/>
      <c r="P1526" s="180"/>
    </row>
    <row r="1527" spans="1:16" x14ac:dyDescent="0.45">
      <c r="A1527" s="180" t="s">
        <v>11</v>
      </c>
      <c r="B1527" s="73">
        <v>70</v>
      </c>
      <c r="C1527" s="73"/>
      <c r="D1527" s="180" t="s">
        <v>271</v>
      </c>
      <c r="E1527" s="39">
        <v>43601</v>
      </c>
      <c r="F1527" s="179">
        <v>0.54027777777777775</v>
      </c>
      <c r="G1527" s="180">
        <v>1</v>
      </c>
      <c r="H1527" s="180"/>
      <c r="I1527" s="180"/>
      <c r="J1527" s="180"/>
      <c r="K1527" s="180"/>
      <c r="L1527" s="180"/>
      <c r="M1527" s="180"/>
      <c r="N1527" s="180"/>
      <c r="O1527" s="180"/>
      <c r="P1527" s="180"/>
    </row>
    <row r="1528" spans="1:16" x14ac:dyDescent="0.45">
      <c r="A1528" s="180" t="s">
        <v>11</v>
      </c>
      <c r="B1528" s="73">
        <v>10</v>
      </c>
      <c r="C1528" s="73"/>
      <c r="D1528" s="180" t="s">
        <v>271</v>
      </c>
      <c r="E1528" s="39">
        <v>43601</v>
      </c>
      <c r="F1528" s="179">
        <v>0.45833333333333331</v>
      </c>
      <c r="G1528" s="180">
        <v>1</v>
      </c>
      <c r="H1528" s="180"/>
      <c r="I1528" s="180"/>
      <c r="J1528" s="180"/>
      <c r="K1528" s="180"/>
      <c r="L1528" s="180"/>
      <c r="M1528" s="180"/>
      <c r="N1528" s="180"/>
      <c r="O1528" s="180"/>
      <c r="P1528" s="180"/>
    </row>
    <row r="1529" spans="1:16" x14ac:dyDescent="0.45">
      <c r="A1529" s="180" t="s">
        <v>11</v>
      </c>
      <c r="B1529" s="73">
        <v>350</v>
      </c>
      <c r="C1529" s="73">
        <v>350</v>
      </c>
      <c r="D1529" s="180" t="s">
        <v>271</v>
      </c>
      <c r="E1529" s="39">
        <v>43601</v>
      </c>
      <c r="F1529" s="179">
        <v>0.5625</v>
      </c>
      <c r="G1529" s="180">
        <v>1</v>
      </c>
      <c r="H1529" s="180"/>
      <c r="I1529" s="180"/>
      <c r="J1529" s="180"/>
      <c r="K1529" s="180"/>
      <c r="L1529" s="180"/>
      <c r="M1529" s="180"/>
      <c r="N1529" s="180"/>
      <c r="O1529" s="180"/>
      <c r="P1529" s="180"/>
    </row>
    <row r="1530" spans="1:16" x14ac:dyDescent="0.45">
      <c r="A1530" s="180" t="s">
        <v>11</v>
      </c>
      <c r="B1530" s="73">
        <v>24</v>
      </c>
      <c r="C1530" s="73"/>
      <c r="D1530" s="180" t="s">
        <v>271</v>
      </c>
      <c r="E1530" s="39">
        <v>43601</v>
      </c>
      <c r="F1530" s="179">
        <v>0.70486111111111116</v>
      </c>
      <c r="G1530" s="180">
        <v>2</v>
      </c>
      <c r="H1530" s="180" t="s">
        <v>405</v>
      </c>
      <c r="I1530" s="180"/>
      <c r="J1530" s="180"/>
      <c r="K1530" s="180"/>
      <c r="L1530" s="180"/>
      <c r="M1530" s="180"/>
      <c r="N1530" s="180"/>
      <c r="O1530" s="180"/>
      <c r="P1530" s="180"/>
    </row>
    <row r="1531" spans="1:16" x14ac:dyDescent="0.45">
      <c r="A1531" s="180" t="s">
        <v>11</v>
      </c>
      <c r="B1531" s="73">
        <v>45</v>
      </c>
      <c r="C1531" s="73">
        <v>45</v>
      </c>
      <c r="D1531" s="180" t="s">
        <v>367</v>
      </c>
      <c r="E1531" s="39">
        <v>43602</v>
      </c>
      <c r="F1531" s="179">
        <v>0.68472222222222223</v>
      </c>
      <c r="G1531" s="180">
        <v>1</v>
      </c>
      <c r="H1531" s="180"/>
      <c r="I1531" s="180"/>
      <c r="J1531" s="180"/>
      <c r="K1531" s="180"/>
      <c r="L1531" s="180"/>
      <c r="M1531" s="180"/>
      <c r="N1531" s="180"/>
      <c r="O1531" s="180"/>
      <c r="P1531" s="180"/>
    </row>
    <row r="1532" spans="1:16" x14ac:dyDescent="0.45">
      <c r="A1532" s="180" t="s">
        <v>11</v>
      </c>
      <c r="B1532" s="73">
        <v>177</v>
      </c>
      <c r="C1532" s="73"/>
      <c r="D1532" s="180" t="s">
        <v>317</v>
      </c>
      <c r="E1532" s="39">
        <v>43603</v>
      </c>
      <c r="F1532" s="179">
        <v>0.70694444444444438</v>
      </c>
      <c r="G1532" s="180">
        <v>7</v>
      </c>
      <c r="H1532" s="180" t="s">
        <v>407</v>
      </c>
      <c r="I1532" s="180"/>
      <c r="J1532" s="180"/>
      <c r="K1532" s="180"/>
      <c r="L1532" s="180"/>
      <c r="M1532" s="180"/>
      <c r="N1532" s="180"/>
      <c r="O1532" s="180"/>
      <c r="P1532" s="180"/>
    </row>
    <row r="1533" spans="1:16" x14ac:dyDescent="0.45">
      <c r="A1533" s="180" t="s">
        <v>11</v>
      </c>
      <c r="B1533" s="73">
        <v>177</v>
      </c>
      <c r="C1533" s="73"/>
      <c r="D1533" s="180" t="s">
        <v>317</v>
      </c>
      <c r="E1533" s="39">
        <v>43603</v>
      </c>
      <c r="F1533" s="179">
        <v>0.70694444444444438</v>
      </c>
      <c r="G1533" s="180">
        <v>7</v>
      </c>
      <c r="H1533" s="180" t="s">
        <v>407</v>
      </c>
      <c r="I1533" s="180"/>
      <c r="J1533" s="180"/>
      <c r="K1533" s="180"/>
      <c r="L1533" s="180"/>
      <c r="M1533" s="180"/>
      <c r="N1533" s="180"/>
      <c r="O1533" s="180"/>
      <c r="P1533" s="180"/>
    </row>
    <row r="1534" spans="1:16" x14ac:dyDescent="0.45">
      <c r="A1534" s="180" t="s">
        <v>11</v>
      </c>
      <c r="B1534" s="73">
        <v>177</v>
      </c>
      <c r="C1534" s="73"/>
      <c r="D1534" s="180" t="s">
        <v>317</v>
      </c>
      <c r="E1534" s="39">
        <v>43603</v>
      </c>
      <c r="F1534" s="179">
        <v>0.70694444444444438</v>
      </c>
      <c r="G1534" s="180">
        <v>7</v>
      </c>
      <c r="H1534" s="180" t="s">
        <v>407</v>
      </c>
      <c r="I1534" s="180"/>
      <c r="J1534" s="180"/>
      <c r="K1534" s="180"/>
      <c r="L1534" s="180"/>
      <c r="M1534" s="180"/>
      <c r="N1534" s="180"/>
      <c r="O1534" s="180"/>
      <c r="P1534" s="180"/>
    </row>
    <row r="1535" spans="1:16" x14ac:dyDescent="0.45">
      <c r="A1535" s="180" t="s">
        <v>11</v>
      </c>
      <c r="B1535" s="73">
        <v>20</v>
      </c>
      <c r="C1535" s="73">
        <v>20</v>
      </c>
      <c r="D1535" s="180" t="s">
        <v>332</v>
      </c>
      <c r="E1535" s="39">
        <v>43603</v>
      </c>
      <c r="F1535" s="179">
        <v>0.70833333333333337</v>
      </c>
      <c r="G1535" s="180">
        <v>4</v>
      </c>
      <c r="H1535" s="180" t="s">
        <v>272</v>
      </c>
      <c r="I1535" s="180"/>
      <c r="J1535" s="180"/>
      <c r="K1535" s="180"/>
      <c r="L1535" s="180"/>
      <c r="M1535" s="180"/>
      <c r="N1535" s="180"/>
      <c r="O1535" s="180"/>
      <c r="P1535" s="180"/>
    </row>
    <row r="1536" spans="1:16" x14ac:dyDescent="0.45">
      <c r="A1536" s="180" t="s">
        <v>11</v>
      </c>
      <c r="B1536" s="73">
        <v>217</v>
      </c>
      <c r="C1536" s="73">
        <v>217</v>
      </c>
      <c r="D1536" s="180" t="s">
        <v>311</v>
      </c>
      <c r="E1536" s="39">
        <v>43603</v>
      </c>
      <c r="F1536" s="179">
        <v>0.70833333333333337</v>
      </c>
      <c r="G1536" s="180">
        <v>11</v>
      </c>
      <c r="H1536" s="180" t="s">
        <v>408</v>
      </c>
      <c r="I1536" s="180"/>
      <c r="J1536" s="180"/>
      <c r="K1536" s="180"/>
      <c r="L1536" s="180"/>
      <c r="M1536" s="180"/>
      <c r="N1536" s="180"/>
      <c r="O1536" s="180"/>
      <c r="P1536" s="180"/>
    </row>
    <row r="1537" spans="1:16" x14ac:dyDescent="0.45">
      <c r="A1537" s="180" t="s">
        <v>11</v>
      </c>
      <c r="B1537" s="73">
        <v>83</v>
      </c>
      <c r="C1537" s="73">
        <v>83</v>
      </c>
      <c r="D1537" s="180" t="s">
        <v>309</v>
      </c>
      <c r="E1537" s="39">
        <v>43603</v>
      </c>
      <c r="F1537" s="179">
        <v>0.70833333333333337</v>
      </c>
      <c r="G1537" s="180">
        <v>2</v>
      </c>
      <c r="H1537" s="180" t="s">
        <v>272</v>
      </c>
      <c r="I1537" s="180"/>
      <c r="J1537" s="180"/>
      <c r="K1537" s="180"/>
      <c r="L1537" s="180"/>
      <c r="M1537" s="180"/>
      <c r="N1537" s="180"/>
      <c r="O1537" s="180"/>
      <c r="P1537" s="180"/>
    </row>
    <row r="1538" spans="1:16" x14ac:dyDescent="0.45">
      <c r="A1538" s="180" t="s">
        <v>11</v>
      </c>
      <c r="B1538" s="73">
        <v>1</v>
      </c>
      <c r="C1538" s="73">
        <v>1</v>
      </c>
      <c r="D1538" s="180" t="s">
        <v>409</v>
      </c>
      <c r="E1538" s="39">
        <v>43604</v>
      </c>
      <c r="F1538" s="179">
        <v>0.35625000000000001</v>
      </c>
      <c r="G1538" s="180">
        <v>2</v>
      </c>
      <c r="H1538" s="180"/>
      <c r="I1538" s="180"/>
      <c r="J1538" s="180"/>
      <c r="K1538" s="180"/>
      <c r="L1538" s="180"/>
      <c r="M1538" s="180"/>
      <c r="N1538" s="180"/>
      <c r="O1538" s="180"/>
      <c r="P1538" s="180"/>
    </row>
    <row r="1539" spans="1:16" x14ac:dyDescent="0.45">
      <c r="A1539" s="180" t="s">
        <v>11</v>
      </c>
      <c r="B1539" s="73">
        <v>1</v>
      </c>
      <c r="C1539" s="73"/>
      <c r="D1539" s="180" t="s">
        <v>409</v>
      </c>
      <c r="E1539" s="39">
        <v>43604</v>
      </c>
      <c r="F1539" s="179">
        <v>0.35625000000000001</v>
      </c>
      <c r="G1539" s="180">
        <v>2</v>
      </c>
      <c r="H1539" s="180"/>
      <c r="I1539" s="180"/>
      <c r="J1539" s="180"/>
      <c r="K1539" s="180"/>
      <c r="L1539" s="180"/>
      <c r="M1539" s="180"/>
      <c r="N1539" s="180"/>
      <c r="O1539" s="180"/>
      <c r="P1539" s="180"/>
    </row>
    <row r="1540" spans="1:16" x14ac:dyDescent="0.45">
      <c r="A1540" s="180" t="s">
        <v>11</v>
      </c>
      <c r="B1540" s="73">
        <v>3</v>
      </c>
      <c r="C1540" s="73">
        <v>3</v>
      </c>
      <c r="D1540" s="180" t="s">
        <v>317</v>
      </c>
      <c r="E1540" s="39">
        <v>43606</v>
      </c>
      <c r="F1540" s="179">
        <v>0.6069444444444444</v>
      </c>
      <c r="G1540" s="180">
        <v>2</v>
      </c>
      <c r="H1540" s="180"/>
      <c r="I1540" s="180"/>
      <c r="J1540" s="180"/>
      <c r="K1540" s="180"/>
      <c r="L1540" s="180"/>
      <c r="M1540" s="180"/>
      <c r="N1540" s="180"/>
      <c r="O1540" s="180"/>
      <c r="P1540" s="180"/>
    </row>
    <row r="1541" spans="1:16" x14ac:dyDescent="0.45">
      <c r="A1541" s="180" t="s">
        <v>11</v>
      </c>
      <c r="B1541" s="73">
        <v>18</v>
      </c>
      <c r="C1541" s="73"/>
      <c r="D1541" s="180" t="s">
        <v>317</v>
      </c>
      <c r="E1541" s="39">
        <v>43608</v>
      </c>
      <c r="F1541" s="179">
        <v>0.81111111111111101</v>
      </c>
      <c r="G1541" s="180">
        <v>4</v>
      </c>
      <c r="H1541" s="180" t="s">
        <v>476</v>
      </c>
      <c r="I1541" s="180"/>
      <c r="J1541" s="180"/>
      <c r="K1541" s="180"/>
      <c r="L1541" s="180"/>
      <c r="M1541" s="180"/>
      <c r="N1541" s="180"/>
      <c r="O1541" s="180"/>
      <c r="P1541" s="180"/>
    </row>
    <row r="1542" spans="1:16" x14ac:dyDescent="0.45">
      <c r="A1542" s="180" t="s">
        <v>11</v>
      </c>
      <c r="B1542" s="73">
        <v>18</v>
      </c>
      <c r="C1542" s="73"/>
      <c r="D1542" s="180" t="s">
        <v>317</v>
      </c>
      <c r="E1542" s="39">
        <v>43608</v>
      </c>
      <c r="F1542" s="179">
        <v>0.81111111111111101</v>
      </c>
      <c r="G1542" s="180">
        <v>4</v>
      </c>
      <c r="H1542" s="180" t="s">
        <v>476</v>
      </c>
      <c r="I1542" s="180"/>
      <c r="J1542" s="180"/>
      <c r="K1542" s="180"/>
      <c r="L1542" s="180"/>
      <c r="M1542" s="180"/>
      <c r="N1542" s="180"/>
      <c r="O1542" s="180"/>
      <c r="P1542" s="180"/>
    </row>
    <row r="1543" spans="1:16" x14ac:dyDescent="0.45">
      <c r="A1543" s="180" t="s">
        <v>11</v>
      </c>
      <c r="B1543" s="73">
        <v>18</v>
      </c>
      <c r="C1543" s="73"/>
      <c r="D1543" s="180" t="s">
        <v>317</v>
      </c>
      <c r="E1543" s="39">
        <v>43608</v>
      </c>
      <c r="F1543" s="179">
        <v>0.81111111111111101</v>
      </c>
      <c r="G1543" s="180">
        <v>4</v>
      </c>
      <c r="H1543" s="180" t="s">
        <v>476</v>
      </c>
      <c r="I1543" s="180"/>
      <c r="J1543" s="180"/>
      <c r="K1543" s="180"/>
      <c r="L1543" s="180"/>
      <c r="M1543" s="180"/>
      <c r="N1543" s="180"/>
      <c r="O1543" s="180"/>
      <c r="P1543" s="180"/>
    </row>
    <row r="1544" spans="1:16" x14ac:dyDescent="0.45">
      <c r="A1544" s="180" t="s">
        <v>11</v>
      </c>
      <c r="B1544" s="73">
        <v>18</v>
      </c>
      <c r="C1544" s="73">
        <v>18</v>
      </c>
      <c r="D1544" s="180" t="s">
        <v>311</v>
      </c>
      <c r="E1544" s="39">
        <v>43608</v>
      </c>
      <c r="F1544" s="179">
        <v>0.8125</v>
      </c>
      <c r="G1544" s="180">
        <v>9</v>
      </c>
      <c r="H1544" s="180" t="s">
        <v>303</v>
      </c>
      <c r="I1544" s="180"/>
      <c r="J1544" s="180"/>
      <c r="K1544" s="180"/>
      <c r="L1544" s="180"/>
      <c r="M1544" s="180"/>
      <c r="N1544" s="180"/>
      <c r="O1544" s="180"/>
      <c r="P1544" s="180"/>
    </row>
    <row r="1545" spans="1:16" x14ac:dyDescent="0.45">
      <c r="A1545" s="180" t="s">
        <v>11</v>
      </c>
      <c r="B1545" s="73">
        <v>3</v>
      </c>
      <c r="C1545" s="73">
        <v>3</v>
      </c>
      <c r="D1545" s="180" t="s">
        <v>309</v>
      </c>
      <c r="E1545" s="39">
        <v>43608</v>
      </c>
      <c r="F1545" s="179">
        <v>0.8125</v>
      </c>
      <c r="G1545" s="180">
        <v>3</v>
      </c>
      <c r="H1545" s="180" t="s">
        <v>303</v>
      </c>
      <c r="I1545" s="180"/>
      <c r="J1545" s="180"/>
      <c r="K1545" s="180"/>
      <c r="L1545" s="180"/>
      <c r="M1545" s="180"/>
      <c r="N1545" s="180"/>
      <c r="O1545" s="180"/>
      <c r="P1545" s="180"/>
    </row>
    <row r="1546" spans="1:16" x14ac:dyDescent="0.45">
      <c r="A1546" s="180" t="s">
        <v>11</v>
      </c>
      <c r="B1546" s="73">
        <v>5</v>
      </c>
      <c r="C1546" s="73">
        <v>5</v>
      </c>
      <c r="D1546" s="180" t="s">
        <v>367</v>
      </c>
      <c r="E1546" s="39">
        <v>43609</v>
      </c>
      <c r="F1546" s="179">
        <v>0.36874999999999997</v>
      </c>
      <c r="G1546" s="180">
        <v>1</v>
      </c>
      <c r="H1546" s="180"/>
      <c r="I1546" s="180"/>
      <c r="J1546" s="180"/>
      <c r="K1546" s="180"/>
      <c r="L1546" s="180"/>
      <c r="M1546" s="180"/>
      <c r="N1546" s="180"/>
      <c r="O1546" s="180"/>
      <c r="P1546" s="180"/>
    </row>
    <row r="1547" spans="1:16" x14ac:dyDescent="0.45">
      <c r="A1547" s="1" t="s">
        <v>273</v>
      </c>
      <c r="B1547" s="73"/>
      <c r="C1547" s="73">
        <f>SUM(C1383:C1546)</f>
        <v>13976</v>
      </c>
      <c r="D1547" s="180"/>
      <c r="E1547" s="39"/>
      <c r="F1547" s="179"/>
      <c r="G1547" s="180"/>
      <c r="H1547" s="180"/>
      <c r="I1547" s="180"/>
      <c r="J1547" s="180"/>
      <c r="K1547" s="180"/>
      <c r="L1547" s="180"/>
      <c r="M1547" s="180"/>
      <c r="N1547" s="180"/>
      <c r="O1547" s="180"/>
      <c r="P1547" s="180"/>
    </row>
    <row r="1548" spans="1:16" x14ac:dyDescent="0.45">
      <c r="A1548" s="180"/>
      <c r="B1548" s="73"/>
      <c r="C1548" s="73"/>
      <c r="D1548" s="180"/>
      <c r="E1548" s="39"/>
      <c r="F1548" s="179"/>
      <c r="G1548" s="180"/>
      <c r="H1548" s="180"/>
      <c r="I1548" s="180"/>
      <c r="J1548" s="180"/>
      <c r="K1548" s="180"/>
      <c r="L1548" s="180"/>
      <c r="M1548" s="180"/>
      <c r="N1548" s="180"/>
      <c r="O1548" s="180"/>
      <c r="P1548" s="180"/>
    </row>
    <row r="1549" spans="1:16" x14ac:dyDescent="0.45">
      <c r="A1549" s="180" t="s">
        <v>7</v>
      </c>
      <c r="B1549" s="73">
        <v>4</v>
      </c>
      <c r="C1549" s="73">
        <v>4</v>
      </c>
      <c r="D1549" s="180" t="s">
        <v>311</v>
      </c>
      <c r="E1549" s="39">
        <v>43583</v>
      </c>
      <c r="F1549" s="179">
        <v>0.4375</v>
      </c>
      <c r="G1549" s="180">
        <v>11</v>
      </c>
      <c r="H1549" s="180" t="s">
        <v>279</v>
      </c>
      <c r="I1549" s="180"/>
      <c r="J1549" s="180"/>
      <c r="K1549" s="180"/>
      <c r="L1549" s="180"/>
      <c r="M1549" s="180"/>
      <c r="N1549" s="180"/>
      <c r="O1549" s="180"/>
      <c r="P1549" s="180"/>
    </row>
    <row r="1550" spans="1:16" x14ac:dyDescent="0.45">
      <c r="A1550" s="180" t="s">
        <v>7</v>
      </c>
      <c r="B1550" s="73">
        <v>1</v>
      </c>
      <c r="C1550" s="73"/>
      <c r="D1550" s="180" t="s">
        <v>271</v>
      </c>
      <c r="E1550" s="39">
        <v>43583</v>
      </c>
      <c r="F1550" s="179">
        <v>0.4375</v>
      </c>
      <c r="G1550" s="180">
        <v>3</v>
      </c>
      <c r="H1550" s="180" t="s">
        <v>279</v>
      </c>
      <c r="I1550" s="180"/>
      <c r="J1550" s="180"/>
      <c r="K1550" s="180"/>
      <c r="L1550" s="180"/>
      <c r="M1550" s="180"/>
      <c r="N1550" s="180"/>
      <c r="O1550" s="180"/>
      <c r="P1550" s="180"/>
    </row>
    <row r="1551" spans="1:16" x14ac:dyDescent="0.45">
      <c r="A1551" s="180" t="s">
        <v>7</v>
      </c>
      <c r="B1551" s="73">
        <v>2</v>
      </c>
      <c r="C1551" s="73"/>
      <c r="D1551" s="180" t="s">
        <v>128</v>
      </c>
      <c r="E1551" s="39">
        <v>43584</v>
      </c>
      <c r="F1551" s="179">
        <v>0.50486111111111109</v>
      </c>
      <c r="G1551" s="180">
        <v>1</v>
      </c>
      <c r="H1551" s="180" t="s">
        <v>352</v>
      </c>
      <c r="I1551" s="180"/>
      <c r="J1551" s="180"/>
      <c r="K1551" s="180"/>
      <c r="L1551" s="180"/>
      <c r="M1551" s="180"/>
      <c r="N1551" s="180"/>
      <c r="O1551" s="180"/>
      <c r="P1551" s="180"/>
    </row>
    <row r="1552" spans="1:16" x14ac:dyDescent="0.45">
      <c r="A1552" s="180" t="s">
        <v>7</v>
      </c>
      <c r="B1552" s="73">
        <v>2</v>
      </c>
      <c r="C1552" s="73">
        <v>2</v>
      </c>
      <c r="D1552" s="180" t="s">
        <v>309</v>
      </c>
      <c r="E1552" s="39">
        <v>43584</v>
      </c>
      <c r="F1552" s="179">
        <v>0.55277777777777781</v>
      </c>
      <c r="G1552" s="180">
        <v>1</v>
      </c>
      <c r="H1552" s="180"/>
      <c r="I1552" s="180"/>
      <c r="J1552" s="180"/>
      <c r="K1552" s="180"/>
      <c r="L1552" s="180"/>
      <c r="M1552" s="180"/>
      <c r="N1552" s="180"/>
      <c r="O1552" s="180"/>
      <c r="P1552" s="180"/>
    </row>
    <row r="1553" spans="1:16" x14ac:dyDescent="0.45">
      <c r="A1553" s="180" t="s">
        <v>7</v>
      </c>
      <c r="B1553" s="73">
        <v>2</v>
      </c>
      <c r="C1553" s="73">
        <v>2</v>
      </c>
      <c r="D1553" s="180" t="s">
        <v>309</v>
      </c>
      <c r="E1553" s="39">
        <v>43585</v>
      </c>
      <c r="F1553" s="179">
        <v>0.42777777777777781</v>
      </c>
      <c r="G1553" s="180">
        <v>2</v>
      </c>
      <c r="H1553" s="180"/>
      <c r="I1553" s="180"/>
      <c r="J1553" s="180"/>
      <c r="K1553" s="180"/>
      <c r="L1553" s="180"/>
      <c r="M1553" s="180"/>
      <c r="N1553" s="180"/>
      <c r="O1553" s="180"/>
      <c r="P1553" s="180"/>
    </row>
    <row r="1554" spans="1:16" x14ac:dyDescent="0.45">
      <c r="A1554" s="180" t="s">
        <v>7</v>
      </c>
      <c r="B1554" s="73">
        <v>15</v>
      </c>
      <c r="C1554" s="73">
        <v>15</v>
      </c>
      <c r="D1554" s="180" t="s">
        <v>344</v>
      </c>
      <c r="E1554" s="39">
        <v>43588</v>
      </c>
      <c r="F1554" s="179">
        <v>0.73472222222222217</v>
      </c>
      <c r="G1554" s="180">
        <v>1</v>
      </c>
      <c r="H1554" s="180"/>
      <c r="I1554" s="180"/>
      <c r="J1554" s="180"/>
      <c r="K1554" s="180"/>
      <c r="L1554" s="180"/>
      <c r="M1554" s="180"/>
      <c r="N1554" s="180"/>
      <c r="O1554" s="180"/>
      <c r="P1554" s="180"/>
    </row>
    <row r="1555" spans="1:16" x14ac:dyDescent="0.45">
      <c r="A1555" s="180" t="s">
        <v>7</v>
      </c>
      <c r="B1555" s="73">
        <v>2</v>
      </c>
      <c r="C1555" s="73"/>
      <c r="D1555" s="180" t="s">
        <v>128</v>
      </c>
      <c r="E1555" s="39">
        <v>43588</v>
      </c>
      <c r="F1555" s="179">
        <v>0.68125000000000002</v>
      </c>
      <c r="G1555" s="180">
        <v>4</v>
      </c>
      <c r="H1555" s="180" t="s">
        <v>310</v>
      </c>
      <c r="I1555" s="180"/>
      <c r="J1555" s="180"/>
      <c r="K1555" s="180"/>
      <c r="L1555" s="180"/>
      <c r="M1555" s="180"/>
      <c r="N1555" s="180"/>
      <c r="O1555" s="180"/>
      <c r="P1555" s="180"/>
    </row>
    <row r="1556" spans="1:16" x14ac:dyDescent="0.45">
      <c r="A1556" s="180" t="s">
        <v>7</v>
      </c>
      <c r="B1556" s="73">
        <v>2</v>
      </c>
      <c r="C1556" s="73"/>
      <c r="D1556" s="180" t="s">
        <v>311</v>
      </c>
      <c r="E1556" s="39">
        <v>43588</v>
      </c>
      <c r="F1556" s="179">
        <v>0.67708333333333337</v>
      </c>
      <c r="G1556" s="180">
        <v>9</v>
      </c>
      <c r="H1556" s="180" t="s">
        <v>312</v>
      </c>
      <c r="I1556" s="180"/>
      <c r="J1556" s="180"/>
      <c r="K1556" s="180"/>
      <c r="L1556" s="180"/>
      <c r="M1556" s="180"/>
      <c r="N1556" s="180"/>
      <c r="O1556" s="180"/>
      <c r="P1556" s="180"/>
    </row>
    <row r="1557" spans="1:16" s="180" customFormat="1" x14ac:dyDescent="0.45">
      <c r="A1557" s="180" t="s">
        <v>7</v>
      </c>
      <c r="B1557" s="73">
        <v>17</v>
      </c>
      <c r="C1557" s="73">
        <v>17</v>
      </c>
      <c r="D1557" s="180" t="s">
        <v>271</v>
      </c>
      <c r="E1557" s="39">
        <v>43588</v>
      </c>
      <c r="F1557" s="179">
        <v>0.67708333333333337</v>
      </c>
      <c r="G1557" s="180">
        <v>3</v>
      </c>
      <c r="H1557" s="180" t="s">
        <v>312</v>
      </c>
      <c r="I1557" s="180" t="s">
        <v>562</v>
      </c>
    </row>
    <row r="1558" spans="1:16" x14ac:dyDescent="0.45">
      <c r="A1558" s="180" t="s">
        <v>7</v>
      </c>
      <c r="B1558" s="73">
        <v>15</v>
      </c>
      <c r="C1558" s="73"/>
      <c r="D1558" s="180" t="s">
        <v>395</v>
      </c>
      <c r="E1558" s="39">
        <v>43589</v>
      </c>
      <c r="F1558" s="179">
        <v>0.42708333333333331</v>
      </c>
      <c r="G1558" s="180">
        <v>1</v>
      </c>
      <c r="H1558" s="180"/>
      <c r="I1558" s="180"/>
      <c r="J1558" s="180"/>
      <c r="K1558" s="180"/>
      <c r="L1558" s="180"/>
      <c r="M1558" s="180"/>
      <c r="N1558" s="180"/>
      <c r="O1558" s="180"/>
      <c r="P1558" s="180"/>
    </row>
    <row r="1559" spans="1:16" x14ac:dyDescent="0.45">
      <c r="A1559" s="180" t="s">
        <v>7</v>
      </c>
      <c r="B1559" s="73">
        <v>5</v>
      </c>
      <c r="C1559" s="73">
        <v>5</v>
      </c>
      <c r="D1559" s="180" t="s">
        <v>309</v>
      </c>
      <c r="E1559" s="39">
        <v>43589</v>
      </c>
      <c r="F1559" s="179">
        <v>0.65347222222222223</v>
      </c>
      <c r="G1559" s="180">
        <v>1</v>
      </c>
      <c r="H1559" s="180"/>
      <c r="I1559" s="180"/>
      <c r="J1559" s="180"/>
      <c r="K1559" s="180"/>
      <c r="L1559" s="180"/>
      <c r="M1559" s="180"/>
      <c r="N1559" s="180"/>
      <c r="O1559" s="180"/>
      <c r="P1559" s="180"/>
    </row>
    <row r="1560" spans="1:16" x14ac:dyDescent="0.45">
      <c r="A1560" s="180" t="s">
        <v>7</v>
      </c>
      <c r="B1560" s="73">
        <v>3</v>
      </c>
      <c r="C1560" s="73"/>
      <c r="D1560" s="180" t="s">
        <v>563</v>
      </c>
      <c r="E1560" s="39">
        <v>43589</v>
      </c>
      <c r="F1560" s="179">
        <v>0.88611111111111107</v>
      </c>
      <c r="G1560" s="180">
        <v>2</v>
      </c>
      <c r="H1560" s="180"/>
      <c r="I1560" s="180" t="s">
        <v>564</v>
      </c>
      <c r="J1560" s="180"/>
      <c r="K1560" s="180"/>
      <c r="L1560" s="180"/>
      <c r="M1560" s="180"/>
      <c r="N1560" s="180"/>
      <c r="O1560" s="180"/>
      <c r="P1560" s="180"/>
    </row>
    <row r="1561" spans="1:16" x14ac:dyDescent="0.45">
      <c r="A1561" s="180" t="s">
        <v>7</v>
      </c>
      <c r="B1561" s="73">
        <v>3</v>
      </c>
      <c r="C1561" s="73"/>
      <c r="D1561" s="180" t="s">
        <v>563</v>
      </c>
      <c r="E1561" s="39">
        <v>43589</v>
      </c>
      <c r="F1561" s="179">
        <v>0.88611111111111107</v>
      </c>
      <c r="G1561" s="180">
        <v>2</v>
      </c>
      <c r="H1561" s="180"/>
      <c r="I1561" s="180" t="s">
        <v>562</v>
      </c>
      <c r="J1561" s="180"/>
      <c r="K1561" s="180"/>
      <c r="L1561" s="180"/>
      <c r="M1561" s="180"/>
      <c r="N1561" s="180"/>
      <c r="O1561" s="180"/>
      <c r="P1561" s="180"/>
    </row>
    <row r="1562" spans="1:16" x14ac:dyDescent="0.45">
      <c r="A1562" s="180" t="s">
        <v>7</v>
      </c>
      <c r="B1562" s="73">
        <v>1</v>
      </c>
      <c r="C1562" s="73"/>
      <c r="D1562" s="180" t="s">
        <v>372</v>
      </c>
      <c r="E1562" s="39">
        <v>43589</v>
      </c>
      <c r="F1562" s="179">
        <v>0.71388888888888891</v>
      </c>
      <c r="G1562" s="180">
        <v>1</v>
      </c>
      <c r="H1562" s="180"/>
      <c r="I1562" s="180" t="s">
        <v>562</v>
      </c>
      <c r="J1562" s="180"/>
      <c r="K1562" s="180"/>
      <c r="L1562" s="180"/>
      <c r="M1562" s="180"/>
      <c r="N1562" s="180"/>
      <c r="O1562" s="180"/>
      <c r="P1562" s="180"/>
    </row>
    <row r="1563" spans="1:16" x14ac:dyDescent="0.45">
      <c r="A1563" s="180" t="s">
        <v>7</v>
      </c>
      <c r="B1563" s="73">
        <v>2</v>
      </c>
      <c r="C1563" s="73"/>
      <c r="D1563" s="180" t="s">
        <v>488</v>
      </c>
      <c r="E1563" s="39">
        <v>43590</v>
      </c>
      <c r="F1563" s="179">
        <v>0.39305555555555555</v>
      </c>
      <c r="G1563" s="180">
        <v>2</v>
      </c>
      <c r="H1563" s="180"/>
      <c r="I1563" s="180"/>
      <c r="J1563" s="180"/>
      <c r="K1563" s="180"/>
      <c r="L1563" s="180"/>
      <c r="M1563" s="180"/>
      <c r="N1563" s="180"/>
      <c r="O1563" s="180"/>
      <c r="P1563" s="180"/>
    </row>
    <row r="1564" spans="1:16" x14ac:dyDescent="0.45">
      <c r="A1564" s="180" t="s">
        <v>7</v>
      </c>
      <c r="B1564" s="73">
        <v>2</v>
      </c>
      <c r="C1564" s="73"/>
      <c r="D1564" s="180" t="s">
        <v>488</v>
      </c>
      <c r="E1564" s="39">
        <v>43590</v>
      </c>
      <c r="F1564" s="179">
        <v>0.39305555555555555</v>
      </c>
      <c r="G1564" s="180">
        <v>2</v>
      </c>
      <c r="H1564" s="180"/>
      <c r="I1564" s="180"/>
      <c r="J1564" s="180"/>
      <c r="K1564" s="180"/>
      <c r="L1564" s="180"/>
      <c r="M1564" s="180"/>
      <c r="N1564" s="180"/>
      <c r="O1564" s="180"/>
      <c r="P1564" s="180"/>
    </row>
    <row r="1565" spans="1:16" x14ac:dyDescent="0.45">
      <c r="A1565" s="180" t="s">
        <v>7</v>
      </c>
      <c r="B1565" s="73">
        <v>4</v>
      </c>
      <c r="C1565" s="73">
        <v>4</v>
      </c>
      <c r="D1565" s="180" t="s">
        <v>128</v>
      </c>
      <c r="E1565" s="39">
        <v>43590</v>
      </c>
      <c r="F1565" s="179">
        <v>0.54861111111111105</v>
      </c>
      <c r="G1565" s="180">
        <v>2</v>
      </c>
      <c r="H1565" s="180"/>
      <c r="I1565" s="180"/>
      <c r="J1565" s="180"/>
      <c r="K1565" s="180"/>
      <c r="L1565" s="180"/>
      <c r="M1565" s="180"/>
      <c r="N1565" s="180"/>
      <c r="O1565" s="180"/>
      <c r="P1565" s="180"/>
    </row>
    <row r="1566" spans="1:16" x14ac:dyDescent="0.45">
      <c r="A1566" s="180" t="s">
        <v>7</v>
      </c>
      <c r="B1566" s="73">
        <v>3</v>
      </c>
      <c r="C1566" s="73"/>
      <c r="D1566" s="180" t="s">
        <v>128</v>
      </c>
      <c r="E1566" s="39">
        <v>43590</v>
      </c>
      <c r="F1566" s="179">
        <v>0.54027777777777775</v>
      </c>
      <c r="G1566" s="180">
        <v>1</v>
      </c>
      <c r="H1566" s="180"/>
      <c r="I1566" s="180"/>
      <c r="J1566" s="180"/>
      <c r="K1566" s="180"/>
      <c r="L1566" s="180"/>
      <c r="M1566" s="180"/>
      <c r="N1566" s="180"/>
      <c r="O1566" s="180"/>
      <c r="P1566" s="180"/>
    </row>
    <row r="1567" spans="1:16" x14ac:dyDescent="0.45">
      <c r="A1567" s="180" t="s">
        <v>7</v>
      </c>
      <c r="B1567" s="73">
        <v>4</v>
      </c>
      <c r="C1567" s="73">
        <v>4</v>
      </c>
      <c r="D1567" s="180" t="s">
        <v>271</v>
      </c>
      <c r="E1567" s="39">
        <v>43591</v>
      </c>
      <c r="F1567" s="179">
        <v>0.50208333333333333</v>
      </c>
      <c r="G1567" s="180">
        <v>1</v>
      </c>
      <c r="H1567" s="180"/>
      <c r="I1567" s="180"/>
      <c r="J1567" s="180"/>
      <c r="K1567" s="180"/>
      <c r="L1567" s="180"/>
      <c r="M1567" s="180"/>
      <c r="N1567" s="180"/>
      <c r="O1567" s="180"/>
      <c r="P1567" s="180"/>
    </row>
    <row r="1568" spans="1:16" x14ac:dyDescent="0.45">
      <c r="A1568" s="180" t="s">
        <v>7</v>
      </c>
      <c r="B1568" s="73">
        <v>1</v>
      </c>
      <c r="C1568" s="73"/>
      <c r="D1568" s="180" t="s">
        <v>271</v>
      </c>
      <c r="E1568" s="39">
        <v>43591</v>
      </c>
      <c r="F1568" s="179">
        <v>0.45069444444444445</v>
      </c>
      <c r="G1568" s="180">
        <v>2</v>
      </c>
      <c r="H1568" s="180"/>
      <c r="I1568" s="180"/>
      <c r="J1568" s="180"/>
      <c r="K1568" s="180"/>
      <c r="L1568" s="180"/>
      <c r="M1568" s="180"/>
      <c r="N1568" s="180"/>
      <c r="O1568" s="180"/>
      <c r="P1568" s="180"/>
    </row>
    <row r="1569" spans="1:16" x14ac:dyDescent="0.45">
      <c r="A1569" s="180" t="s">
        <v>7</v>
      </c>
      <c r="B1569" s="73">
        <v>37</v>
      </c>
      <c r="C1569" s="73"/>
      <c r="D1569" s="180" t="s">
        <v>543</v>
      </c>
      <c r="E1569" s="39">
        <v>43591</v>
      </c>
      <c r="F1569" s="179">
        <v>0.79999999999999993</v>
      </c>
      <c r="G1569" s="180">
        <v>1</v>
      </c>
      <c r="H1569" s="180"/>
      <c r="I1569" s="180"/>
      <c r="J1569" s="180"/>
      <c r="K1569" s="180"/>
      <c r="L1569" s="180"/>
      <c r="M1569" s="180"/>
      <c r="N1569" s="180"/>
      <c r="O1569" s="180"/>
      <c r="P1569" s="180"/>
    </row>
    <row r="1570" spans="1:16" x14ac:dyDescent="0.45">
      <c r="A1570" s="180" t="s">
        <v>7</v>
      </c>
      <c r="B1570" s="73">
        <v>13</v>
      </c>
      <c r="C1570" s="73">
        <v>13</v>
      </c>
      <c r="D1570" s="180" t="s">
        <v>271</v>
      </c>
      <c r="E1570" s="39">
        <v>43593</v>
      </c>
      <c r="F1570" s="179">
        <v>0.76180555555555562</v>
      </c>
      <c r="G1570" s="180">
        <v>1</v>
      </c>
      <c r="H1570" s="180"/>
      <c r="I1570" s="180"/>
      <c r="J1570" s="180"/>
      <c r="K1570" s="180"/>
      <c r="L1570" s="180"/>
      <c r="M1570" s="180"/>
      <c r="N1570" s="180"/>
      <c r="O1570" s="180"/>
      <c r="P1570" s="180"/>
    </row>
    <row r="1571" spans="1:16" x14ac:dyDescent="0.45">
      <c r="A1571" s="180" t="s">
        <v>7</v>
      </c>
      <c r="B1571" s="73">
        <v>1</v>
      </c>
      <c r="C1571" s="73"/>
      <c r="D1571" s="180" t="s">
        <v>296</v>
      </c>
      <c r="E1571" s="39">
        <v>43594</v>
      </c>
      <c r="F1571" s="179">
        <v>0.71180555555555547</v>
      </c>
      <c r="G1571" s="180">
        <v>12</v>
      </c>
      <c r="H1571" s="180" t="s">
        <v>440</v>
      </c>
      <c r="I1571" s="180"/>
      <c r="J1571" s="180"/>
      <c r="K1571" s="180"/>
      <c r="L1571" s="180"/>
      <c r="M1571" s="180"/>
      <c r="N1571" s="180"/>
      <c r="O1571" s="180"/>
      <c r="P1571" s="180"/>
    </row>
    <row r="1572" spans="1:16" x14ac:dyDescent="0.45">
      <c r="A1572" s="180" t="s">
        <v>7</v>
      </c>
      <c r="B1572" s="73">
        <v>25</v>
      </c>
      <c r="C1572" s="73">
        <v>25</v>
      </c>
      <c r="D1572" s="180" t="s">
        <v>296</v>
      </c>
      <c r="E1572" s="39">
        <v>43594</v>
      </c>
      <c r="F1572" s="179">
        <v>0.26111111111111113</v>
      </c>
      <c r="G1572" s="180">
        <v>1</v>
      </c>
      <c r="H1572" s="180"/>
      <c r="I1572" s="180"/>
      <c r="J1572" s="180"/>
      <c r="K1572" s="180"/>
      <c r="L1572" s="180"/>
      <c r="M1572" s="180"/>
      <c r="N1572" s="180"/>
      <c r="O1572" s="180"/>
      <c r="P1572" s="180"/>
    </row>
    <row r="1573" spans="1:16" x14ac:dyDescent="0.45">
      <c r="A1573" s="180" t="s">
        <v>7</v>
      </c>
      <c r="B1573" s="73">
        <v>1</v>
      </c>
      <c r="C1573" s="73"/>
      <c r="D1573" s="180" t="s">
        <v>296</v>
      </c>
      <c r="E1573" s="39">
        <v>43594</v>
      </c>
      <c r="F1573" s="179">
        <v>0.72777777777777775</v>
      </c>
      <c r="G1573" s="180">
        <v>1</v>
      </c>
      <c r="H1573" s="180"/>
      <c r="I1573" s="180"/>
      <c r="J1573" s="180"/>
      <c r="K1573" s="180"/>
      <c r="L1573" s="180"/>
      <c r="M1573" s="180"/>
      <c r="N1573" s="180"/>
      <c r="O1573" s="180"/>
      <c r="P1573" s="180"/>
    </row>
    <row r="1574" spans="1:16" x14ac:dyDescent="0.45">
      <c r="A1574" s="180" t="s">
        <v>7</v>
      </c>
      <c r="B1574" s="73">
        <v>1</v>
      </c>
      <c r="C1574" s="73">
        <v>1</v>
      </c>
      <c r="D1574" s="180" t="s">
        <v>271</v>
      </c>
      <c r="E1574" s="39">
        <v>43596</v>
      </c>
      <c r="F1574" s="179">
        <v>0.72499999999999998</v>
      </c>
      <c r="G1574" s="180">
        <v>1</v>
      </c>
      <c r="H1574" s="180"/>
      <c r="I1574" s="180"/>
      <c r="J1574" s="180"/>
      <c r="K1574" s="180"/>
      <c r="L1574" s="180"/>
      <c r="M1574" s="180"/>
      <c r="N1574" s="180"/>
      <c r="O1574" s="180"/>
      <c r="P1574" s="180"/>
    </row>
    <row r="1575" spans="1:16" x14ac:dyDescent="0.45">
      <c r="A1575" s="180" t="s">
        <v>7</v>
      </c>
      <c r="B1575" s="73">
        <v>1</v>
      </c>
      <c r="C1575" s="73"/>
      <c r="D1575" s="180" t="s">
        <v>271</v>
      </c>
      <c r="E1575" s="39">
        <v>43596</v>
      </c>
      <c r="F1575" s="179">
        <v>0.78125</v>
      </c>
      <c r="G1575" s="180">
        <v>4</v>
      </c>
      <c r="H1575" s="180"/>
      <c r="I1575" s="180"/>
      <c r="J1575" s="180"/>
      <c r="K1575" s="180"/>
      <c r="L1575" s="180"/>
      <c r="M1575" s="180"/>
      <c r="N1575" s="180"/>
      <c r="O1575" s="180"/>
      <c r="P1575" s="180"/>
    </row>
    <row r="1576" spans="1:16" x14ac:dyDescent="0.45">
      <c r="A1576" s="180" t="s">
        <v>7</v>
      </c>
      <c r="B1576" s="73">
        <v>3</v>
      </c>
      <c r="C1576" s="73">
        <v>3</v>
      </c>
      <c r="D1576" s="180" t="s">
        <v>344</v>
      </c>
      <c r="E1576" s="39">
        <v>43597</v>
      </c>
      <c r="F1576" s="179">
        <v>0.47291666666666665</v>
      </c>
      <c r="G1576" s="180">
        <v>1</v>
      </c>
      <c r="H1576" s="180"/>
      <c r="I1576" s="180"/>
      <c r="J1576" s="180"/>
      <c r="K1576" s="180"/>
      <c r="L1576" s="180"/>
      <c r="M1576" s="180"/>
      <c r="N1576" s="180"/>
      <c r="O1576" s="180"/>
      <c r="P1576" s="180"/>
    </row>
    <row r="1577" spans="1:16" x14ac:dyDescent="0.45">
      <c r="A1577" s="180" t="s">
        <v>7</v>
      </c>
      <c r="B1577" s="73">
        <v>3</v>
      </c>
      <c r="C1577" s="73"/>
      <c r="D1577" s="180" t="s">
        <v>395</v>
      </c>
      <c r="E1577" s="39">
        <v>43597</v>
      </c>
      <c r="F1577" s="179">
        <v>0.3125</v>
      </c>
      <c r="G1577" s="180">
        <v>1</v>
      </c>
      <c r="H1577" s="180" t="s">
        <v>396</v>
      </c>
      <c r="I1577" s="180"/>
      <c r="J1577" s="180"/>
      <c r="K1577" s="180"/>
      <c r="L1577" s="180"/>
      <c r="M1577" s="180"/>
      <c r="N1577" s="180"/>
      <c r="O1577" s="180"/>
      <c r="P1577" s="180"/>
    </row>
    <row r="1578" spans="1:16" x14ac:dyDescent="0.45">
      <c r="A1578" s="180" t="s">
        <v>7</v>
      </c>
      <c r="B1578" s="73">
        <v>15</v>
      </c>
      <c r="C1578" s="73">
        <v>15</v>
      </c>
      <c r="D1578" s="180" t="s">
        <v>344</v>
      </c>
      <c r="E1578" s="39">
        <v>43598</v>
      </c>
      <c r="F1578" s="179">
        <v>0.6118055555555556</v>
      </c>
      <c r="G1578" s="180">
        <v>1</v>
      </c>
      <c r="H1578" s="180"/>
      <c r="I1578" s="180"/>
      <c r="J1578" s="180"/>
      <c r="K1578" s="180"/>
      <c r="L1578" s="180"/>
      <c r="M1578" s="180"/>
      <c r="N1578" s="180"/>
      <c r="O1578" s="180"/>
      <c r="P1578" s="180"/>
    </row>
    <row r="1579" spans="1:16" x14ac:dyDescent="0.45">
      <c r="A1579" s="180" t="s">
        <v>7</v>
      </c>
      <c r="B1579" s="73">
        <v>3</v>
      </c>
      <c r="C1579" s="73"/>
      <c r="D1579" s="180" t="s">
        <v>271</v>
      </c>
      <c r="E1579" s="39">
        <v>43598</v>
      </c>
      <c r="F1579" s="179">
        <v>0.42708333333333331</v>
      </c>
      <c r="G1579" s="180">
        <v>3</v>
      </c>
      <c r="H1579" s="180" t="s">
        <v>404</v>
      </c>
      <c r="I1579" s="180"/>
      <c r="J1579" s="180"/>
      <c r="K1579" s="180"/>
      <c r="L1579" s="180"/>
      <c r="M1579" s="180"/>
      <c r="N1579" s="180"/>
      <c r="O1579" s="180"/>
      <c r="P1579" s="180"/>
    </row>
    <row r="1580" spans="1:16" x14ac:dyDescent="0.45">
      <c r="A1580" s="180" t="s">
        <v>7</v>
      </c>
      <c r="B1580" s="73">
        <v>2</v>
      </c>
      <c r="C1580" s="73">
        <v>2</v>
      </c>
      <c r="D1580" s="180" t="s">
        <v>454</v>
      </c>
      <c r="E1580" s="39">
        <v>43599</v>
      </c>
      <c r="F1580" s="179">
        <v>0.5395833333333333</v>
      </c>
      <c r="G1580" s="180">
        <v>1</v>
      </c>
      <c r="H1580" s="180"/>
      <c r="I1580" s="180"/>
      <c r="J1580" s="180"/>
      <c r="K1580" s="180"/>
      <c r="L1580" s="180"/>
      <c r="M1580" s="180"/>
      <c r="N1580" s="180"/>
      <c r="O1580" s="180"/>
      <c r="P1580" s="180"/>
    </row>
    <row r="1581" spans="1:16" x14ac:dyDescent="0.45">
      <c r="A1581" s="180" t="s">
        <v>7</v>
      </c>
      <c r="B1581" s="73">
        <v>4</v>
      </c>
      <c r="C1581" s="73">
        <v>4</v>
      </c>
      <c r="D1581" s="180" t="s">
        <v>344</v>
      </c>
      <c r="E1581" s="39">
        <v>43601</v>
      </c>
      <c r="F1581" s="179">
        <v>0.83333333333333337</v>
      </c>
      <c r="G1581" s="180">
        <v>1</v>
      </c>
      <c r="H1581" s="180"/>
      <c r="I1581" s="180"/>
      <c r="J1581" s="180"/>
      <c r="K1581" s="180"/>
      <c r="L1581" s="180"/>
      <c r="M1581" s="180"/>
      <c r="N1581" s="180"/>
      <c r="O1581" s="180"/>
      <c r="P1581" s="180"/>
    </row>
    <row r="1582" spans="1:16" x14ac:dyDescent="0.45">
      <c r="A1582" s="180" t="s">
        <v>7</v>
      </c>
      <c r="B1582" s="73">
        <v>1</v>
      </c>
      <c r="C1582" s="73">
        <v>1</v>
      </c>
      <c r="D1582" s="180" t="s">
        <v>128</v>
      </c>
      <c r="E1582" s="39">
        <v>43606</v>
      </c>
      <c r="F1582" s="179">
        <v>0.54166666666666663</v>
      </c>
      <c r="G1582" s="180">
        <v>2</v>
      </c>
      <c r="H1582" s="180"/>
      <c r="I1582" s="180"/>
      <c r="J1582" s="180"/>
      <c r="K1582" s="180"/>
      <c r="L1582" s="180"/>
      <c r="M1582" s="180"/>
      <c r="N1582" s="180"/>
      <c r="O1582" s="180"/>
      <c r="P1582" s="180"/>
    </row>
    <row r="1583" spans="1:16" x14ac:dyDescent="0.45">
      <c r="A1583" s="180" t="s">
        <v>7</v>
      </c>
      <c r="B1583" s="73">
        <v>1</v>
      </c>
      <c r="C1583" s="73"/>
      <c r="D1583" s="180" t="s">
        <v>128</v>
      </c>
      <c r="E1583" s="39">
        <v>43606</v>
      </c>
      <c r="F1583" s="179">
        <v>0.54166666666666663</v>
      </c>
      <c r="G1583" s="180">
        <v>2</v>
      </c>
      <c r="H1583" s="180"/>
      <c r="I1583" s="180"/>
      <c r="J1583" s="180"/>
      <c r="K1583" s="180"/>
      <c r="L1583" s="180"/>
      <c r="M1583" s="180"/>
      <c r="N1583" s="180"/>
      <c r="O1583" s="180"/>
      <c r="P1583" s="180"/>
    </row>
    <row r="1584" spans="1:16" x14ac:dyDescent="0.45">
      <c r="A1584" s="180" t="s">
        <v>7</v>
      </c>
      <c r="B1584" s="73">
        <v>1</v>
      </c>
      <c r="C1584" s="73"/>
      <c r="D1584" s="180" t="s">
        <v>128</v>
      </c>
      <c r="E1584" s="39">
        <v>43606</v>
      </c>
      <c r="F1584" s="179">
        <v>0.54166666666666663</v>
      </c>
      <c r="G1584" s="180">
        <v>2</v>
      </c>
      <c r="H1584" s="180"/>
      <c r="I1584" s="180"/>
      <c r="J1584" s="180"/>
      <c r="K1584" s="180"/>
      <c r="L1584" s="180"/>
      <c r="M1584" s="180"/>
      <c r="N1584" s="180"/>
      <c r="O1584" s="180"/>
      <c r="P1584" s="180"/>
    </row>
    <row r="1585" spans="1:16" x14ac:dyDescent="0.45">
      <c r="A1585" s="180" t="s">
        <v>7</v>
      </c>
      <c r="B1585" s="73">
        <v>1</v>
      </c>
      <c r="C1585" s="73"/>
      <c r="D1585" s="180" t="s">
        <v>317</v>
      </c>
      <c r="E1585" s="39">
        <v>43606</v>
      </c>
      <c r="F1585" s="179">
        <v>0.6069444444444444</v>
      </c>
      <c r="G1585" s="180">
        <v>2</v>
      </c>
      <c r="H1585" s="180"/>
      <c r="I1585" s="180"/>
      <c r="J1585" s="180"/>
      <c r="K1585" s="180"/>
      <c r="L1585" s="180"/>
      <c r="M1585" s="180"/>
      <c r="N1585" s="180"/>
      <c r="O1585" s="180"/>
      <c r="P1585" s="180"/>
    </row>
    <row r="1586" spans="1:16" x14ac:dyDescent="0.45">
      <c r="A1586" s="1" t="s">
        <v>273</v>
      </c>
      <c r="B1586" s="73"/>
      <c r="C1586" s="73">
        <f>SUM(C1549:C1585)</f>
        <v>117</v>
      </c>
      <c r="D1586" s="180"/>
      <c r="E1586" s="39"/>
      <c r="F1586" s="179"/>
      <c r="G1586" s="180"/>
      <c r="H1586" s="180"/>
      <c r="I1586" s="180"/>
      <c r="J1586" s="180"/>
      <c r="K1586" s="180"/>
      <c r="L1586" s="180"/>
      <c r="M1586" s="180"/>
      <c r="N1586" s="180"/>
      <c r="O1586" s="180"/>
      <c r="P1586" s="180"/>
    </row>
    <row r="1587" spans="1:16" x14ac:dyDescent="0.45">
      <c r="A1587" s="180"/>
      <c r="B1587" s="73"/>
      <c r="C1587" s="73"/>
      <c r="D1587" s="180"/>
      <c r="E1587" s="39"/>
      <c r="F1587" s="179"/>
      <c r="G1587" s="180"/>
      <c r="H1587" s="180"/>
      <c r="I1587" s="180"/>
      <c r="J1587" s="180"/>
      <c r="K1587" s="180"/>
      <c r="L1587" s="180"/>
      <c r="M1587" s="180"/>
      <c r="N1587" s="180"/>
      <c r="O1587" s="180"/>
      <c r="P1587" s="180"/>
    </row>
    <row r="1588" spans="1:16" x14ac:dyDescent="0.45">
      <c r="A1588" s="180" t="s">
        <v>81</v>
      </c>
      <c r="B1588" s="73">
        <v>1</v>
      </c>
      <c r="C1588" s="73">
        <v>1</v>
      </c>
      <c r="D1588" s="180" t="s">
        <v>565</v>
      </c>
      <c r="E1588" s="39">
        <v>43568</v>
      </c>
      <c r="F1588" s="179">
        <v>0.90972222222222221</v>
      </c>
      <c r="G1588" s="180">
        <v>1</v>
      </c>
      <c r="H1588" s="180"/>
      <c r="I1588" s="180"/>
      <c r="J1588" s="180"/>
      <c r="K1588" s="180"/>
      <c r="L1588" s="180"/>
      <c r="M1588" s="180"/>
      <c r="N1588" s="180"/>
      <c r="O1588" s="180"/>
      <c r="P1588" s="180"/>
    </row>
    <row r="1589" spans="1:16" x14ac:dyDescent="0.45">
      <c r="A1589" s="180" t="s">
        <v>81</v>
      </c>
      <c r="B1589" s="73">
        <v>1</v>
      </c>
      <c r="C1589" s="73"/>
      <c r="D1589" s="180" t="s">
        <v>455</v>
      </c>
      <c r="E1589" s="39">
        <v>43568</v>
      </c>
      <c r="F1589" s="179">
        <v>0.92013888888888884</v>
      </c>
      <c r="G1589" s="180">
        <v>2</v>
      </c>
      <c r="H1589" s="180"/>
      <c r="I1589" s="180"/>
      <c r="J1589" s="180"/>
      <c r="K1589" s="180"/>
      <c r="L1589" s="180"/>
      <c r="M1589" s="180"/>
      <c r="N1589" s="180"/>
      <c r="O1589" s="180"/>
      <c r="P1589" s="180"/>
    </row>
    <row r="1590" spans="1:16" x14ac:dyDescent="0.45">
      <c r="A1590" s="180" t="s">
        <v>81</v>
      </c>
      <c r="B1590" s="73">
        <v>1</v>
      </c>
      <c r="C1590" s="73">
        <v>1</v>
      </c>
      <c r="D1590" s="180" t="s">
        <v>455</v>
      </c>
      <c r="E1590" s="39">
        <v>43569</v>
      </c>
      <c r="F1590" s="179">
        <v>0.91666666666666663</v>
      </c>
      <c r="G1590" s="180">
        <v>2</v>
      </c>
      <c r="H1590" s="180"/>
      <c r="I1590" s="180"/>
      <c r="J1590" s="180"/>
      <c r="K1590" s="180"/>
      <c r="L1590" s="180"/>
      <c r="M1590" s="180"/>
      <c r="N1590" s="180"/>
      <c r="O1590" s="180"/>
      <c r="P1590" s="180"/>
    </row>
    <row r="1591" spans="1:16" x14ac:dyDescent="0.45">
      <c r="A1591" s="180" t="s">
        <v>81</v>
      </c>
      <c r="B1591" s="73">
        <v>1</v>
      </c>
      <c r="C1591" s="73">
        <v>1</v>
      </c>
      <c r="D1591" s="180" t="s">
        <v>296</v>
      </c>
      <c r="E1591" s="39">
        <v>43573</v>
      </c>
      <c r="F1591" s="179">
        <v>0.77569444444444446</v>
      </c>
      <c r="G1591" s="180">
        <v>1</v>
      </c>
      <c r="H1591" s="180"/>
      <c r="I1591" s="180"/>
      <c r="J1591" s="180"/>
      <c r="K1591" s="180"/>
      <c r="L1591" s="180"/>
      <c r="M1591" s="180"/>
      <c r="N1591" s="180"/>
      <c r="O1591" s="180"/>
      <c r="P1591" s="180"/>
    </row>
    <row r="1592" spans="1:16" x14ac:dyDescent="0.45">
      <c r="A1592" s="180" t="s">
        <v>81</v>
      </c>
      <c r="B1592" s="73">
        <v>1</v>
      </c>
      <c r="C1592" s="73">
        <v>1</v>
      </c>
      <c r="D1592" s="180" t="s">
        <v>271</v>
      </c>
      <c r="E1592" s="39">
        <v>43578</v>
      </c>
      <c r="F1592" s="179">
        <v>0.8125</v>
      </c>
      <c r="G1592" s="180">
        <v>3</v>
      </c>
      <c r="H1592" s="180" t="s">
        <v>348</v>
      </c>
      <c r="I1592" s="180"/>
      <c r="J1592" s="180"/>
      <c r="K1592" s="180"/>
      <c r="L1592" s="180"/>
      <c r="M1592" s="180"/>
      <c r="N1592" s="180"/>
      <c r="O1592" s="180"/>
      <c r="P1592" s="180"/>
    </row>
    <row r="1593" spans="1:16" x14ac:dyDescent="0.45">
      <c r="A1593" s="180" t="s">
        <v>81</v>
      </c>
      <c r="B1593" s="73">
        <v>1</v>
      </c>
      <c r="C1593" s="73">
        <v>1</v>
      </c>
      <c r="D1593" s="180" t="s">
        <v>128</v>
      </c>
      <c r="E1593" s="39">
        <v>43582</v>
      </c>
      <c r="F1593" s="179">
        <v>0.45833333333333331</v>
      </c>
      <c r="G1593" s="180">
        <v>4</v>
      </c>
      <c r="H1593" s="180" t="s">
        <v>420</v>
      </c>
      <c r="I1593" s="180" t="s">
        <v>566</v>
      </c>
      <c r="J1593" s="180"/>
      <c r="K1593" s="180"/>
      <c r="L1593" s="180"/>
      <c r="M1593" s="180"/>
      <c r="N1593" s="180"/>
      <c r="O1593" s="180"/>
      <c r="P1593" s="180"/>
    </row>
    <row r="1594" spans="1:16" x14ac:dyDescent="0.45">
      <c r="A1594" s="180" t="s">
        <v>81</v>
      </c>
      <c r="B1594" s="73">
        <v>1</v>
      </c>
      <c r="C1594" s="73"/>
      <c r="D1594" s="180" t="s">
        <v>128</v>
      </c>
      <c r="E1594" s="39">
        <v>43582</v>
      </c>
      <c r="F1594" s="179">
        <v>0.45833333333333331</v>
      </c>
      <c r="G1594" s="180">
        <v>4</v>
      </c>
      <c r="H1594" s="180" t="s">
        <v>420</v>
      </c>
      <c r="I1594" s="180"/>
      <c r="J1594" s="180"/>
      <c r="K1594" s="180"/>
      <c r="L1594" s="180"/>
      <c r="M1594" s="180"/>
      <c r="N1594" s="180"/>
      <c r="O1594" s="180"/>
      <c r="P1594" s="180"/>
    </row>
    <row r="1595" spans="1:16" x14ac:dyDescent="0.45">
      <c r="A1595" s="180" t="s">
        <v>81</v>
      </c>
      <c r="B1595" s="73">
        <v>1</v>
      </c>
      <c r="C1595" s="73">
        <v>1</v>
      </c>
      <c r="D1595" s="180" t="s">
        <v>567</v>
      </c>
      <c r="E1595" s="39">
        <v>43584</v>
      </c>
      <c r="F1595" s="179">
        <v>0.93819444444444444</v>
      </c>
      <c r="G1595" s="180">
        <v>1</v>
      </c>
      <c r="H1595" s="180"/>
      <c r="I1595" s="180"/>
      <c r="J1595" s="180"/>
      <c r="K1595" s="180"/>
      <c r="L1595" s="180"/>
      <c r="M1595" s="180"/>
      <c r="N1595" s="180"/>
      <c r="O1595" s="180"/>
      <c r="P1595" s="180"/>
    </row>
    <row r="1596" spans="1:16" x14ac:dyDescent="0.45">
      <c r="A1596" s="180" t="s">
        <v>81</v>
      </c>
      <c r="B1596" s="73">
        <v>2</v>
      </c>
      <c r="C1596" s="73">
        <v>2</v>
      </c>
      <c r="D1596" s="180" t="s">
        <v>296</v>
      </c>
      <c r="E1596" s="39">
        <v>43585</v>
      </c>
      <c r="F1596" s="179">
        <v>0.41944444444444445</v>
      </c>
      <c r="G1596" s="180">
        <v>2</v>
      </c>
      <c r="H1596" s="180"/>
      <c r="I1596" s="180"/>
      <c r="J1596" s="180"/>
      <c r="K1596" s="180"/>
      <c r="L1596" s="180"/>
      <c r="M1596" s="180"/>
      <c r="N1596" s="180"/>
      <c r="O1596" s="180"/>
      <c r="P1596" s="180"/>
    </row>
    <row r="1597" spans="1:16" x14ac:dyDescent="0.45">
      <c r="A1597" s="180" t="s">
        <v>81</v>
      </c>
      <c r="B1597" s="73">
        <v>1</v>
      </c>
      <c r="C1597" s="73">
        <v>1</v>
      </c>
      <c r="D1597" s="180" t="s">
        <v>296</v>
      </c>
      <c r="E1597" s="39">
        <v>43590</v>
      </c>
      <c r="F1597" s="179">
        <v>0.52569444444444446</v>
      </c>
      <c r="G1597" s="180">
        <v>1</v>
      </c>
      <c r="H1597" s="180"/>
      <c r="I1597" s="180" t="s">
        <v>568</v>
      </c>
      <c r="J1597" s="180"/>
      <c r="K1597" s="180"/>
      <c r="L1597" s="180"/>
      <c r="M1597" s="180"/>
      <c r="N1597" s="180"/>
      <c r="O1597" s="180"/>
      <c r="P1597" s="180"/>
    </row>
    <row r="1598" spans="1:16" x14ac:dyDescent="0.45">
      <c r="A1598" s="180" t="s">
        <v>81</v>
      </c>
      <c r="B1598" s="73">
        <v>2</v>
      </c>
      <c r="C1598" s="73">
        <v>2</v>
      </c>
      <c r="D1598" s="180" t="s">
        <v>429</v>
      </c>
      <c r="E1598" s="39">
        <v>43590</v>
      </c>
      <c r="F1598" s="179">
        <v>0.50972222222222219</v>
      </c>
      <c r="G1598" s="180">
        <v>2</v>
      </c>
      <c r="H1598" s="180"/>
      <c r="I1598" s="180" t="s">
        <v>568</v>
      </c>
      <c r="J1598" s="180"/>
      <c r="K1598" s="180"/>
      <c r="L1598" s="180"/>
      <c r="M1598" s="180"/>
      <c r="N1598" s="180"/>
      <c r="O1598" s="180"/>
      <c r="P1598" s="180"/>
    </row>
    <row r="1599" spans="1:16" x14ac:dyDescent="0.45">
      <c r="A1599" s="180" t="s">
        <v>81</v>
      </c>
      <c r="B1599" s="73">
        <v>2</v>
      </c>
      <c r="C1599" s="73">
        <v>2</v>
      </c>
      <c r="D1599" s="180" t="s">
        <v>349</v>
      </c>
      <c r="E1599" s="39">
        <v>43590</v>
      </c>
      <c r="F1599" s="179">
        <v>0.3833333333333333</v>
      </c>
      <c r="G1599" s="180">
        <v>2</v>
      </c>
      <c r="H1599" s="180" t="s">
        <v>430</v>
      </c>
      <c r="I1599" s="180"/>
      <c r="J1599" s="180"/>
      <c r="K1599" s="180"/>
      <c r="L1599" s="180"/>
      <c r="M1599" s="180"/>
      <c r="N1599" s="180"/>
      <c r="O1599" s="180"/>
      <c r="P1599" s="180"/>
    </row>
    <row r="1600" spans="1:16" x14ac:dyDescent="0.45">
      <c r="A1600" s="180" t="s">
        <v>81</v>
      </c>
      <c r="B1600" s="73">
        <v>1</v>
      </c>
      <c r="C1600" s="73">
        <v>1</v>
      </c>
      <c r="D1600" s="180" t="s">
        <v>299</v>
      </c>
      <c r="E1600" s="39">
        <v>43590</v>
      </c>
      <c r="F1600" s="179">
        <v>0.96597222222222223</v>
      </c>
      <c r="G1600" s="180">
        <v>1</v>
      </c>
      <c r="H1600" s="180" t="s">
        <v>347</v>
      </c>
      <c r="I1600" s="180"/>
      <c r="J1600" s="180"/>
      <c r="K1600" s="180"/>
      <c r="L1600" s="180"/>
      <c r="M1600" s="180"/>
      <c r="N1600" s="180"/>
      <c r="O1600" s="180"/>
      <c r="P1600" s="180"/>
    </row>
    <row r="1601" spans="1:16" x14ac:dyDescent="0.45">
      <c r="A1601" s="180" t="s">
        <v>81</v>
      </c>
      <c r="B1601" s="73">
        <v>1</v>
      </c>
      <c r="C1601" s="73"/>
      <c r="D1601" s="180" t="s">
        <v>271</v>
      </c>
      <c r="E1601" s="39">
        <v>43591</v>
      </c>
      <c r="F1601" s="179">
        <v>0.44791666666666669</v>
      </c>
      <c r="G1601" s="180">
        <v>2</v>
      </c>
      <c r="H1601" s="180"/>
      <c r="I1601" s="180"/>
      <c r="J1601" s="180"/>
      <c r="K1601" s="180"/>
      <c r="L1601" s="180"/>
      <c r="M1601" s="180"/>
      <c r="N1601" s="180"/>
      <c r="O1601" s="180"/>
      <c r="P1601" s="180"/>
    </row>
    <row r="1602" spans="1:16" x14ac:dyDescent="0.45">
      <c r="A1602" s="180" t="s">
        <v>81</v>
      </c>
      <c r="B1602" s="73">
        <v>2</v>
      </c>
      <c r="C1602" s="73">
        <v>2</v>
      </c>
      <c r="D1602" s="180" t="s">
        <v>271</v>
      </c>
      <c r="E1602" s="39">
        <v>43591</v>
      </c>
      <c r="F1602" s="179">
        <v>0.45069444444444445</v>
      </c>
      <c r="G1602" s="180">
        <v>2</v>
      </c>
      <c r="H1602" s="180"/>
      <c r="I1602" s="180"/>
      <c r="J1602" s="180"/>
      <c r="K1602" s="180"/>
      <c r="L1602" s="180"/>
      <c r="M1602" s="180"/>
      <c r="N1602" s="180"/>
      <c r="O1602" s="180"/>
      <c r="P1602" s="180"/>
    </row>
    <row r="1603" spans="1:16" x14ac:dyDescent="0.45">
      <c r="A1603" s="180" t="s">
        <v>81</v>
      </c>
      <c r="B1603" s="73">
        <v>1</v>
      </c>
      <c r="C1603" s="73">
        <v>1</v>
      </c>
      <c r="D1603" s="180" t="s">
        <v>299</v>
      </c>
      <c r="E1603" s="39">
        <v>43591</v>
      </c>
      <c r="F1603" s="179">
        <v>0.22222222222222221</v>
      </c>
      <c r="G1603" s="180">
        <v>1</v>
      </c>
      <c r="H1603" s="180"/>
      <c r="I1603" s="180"/>
      <c r="J1603" s="180"/>
      <c r="K1603" s="180"/>
      <c r="L1603" s="180"/>
      <c r="M1603" s="180"/>
      <c r="N1603" s="180"/>
      <c r="O1603" s="180"/>
      <c r="P1603" s="180"/>
    </row>
    <row r="1604" spans="1:16" x14ac:dyDescent="0.45">
      <c r="A1604" s="180" t="s">
        <v>81</v>
      </c>
      <c r="B1604" s="73">
        <v>1</v>
      </c>
      <c r="C1604" s="73">
        <v>1</v>
      </c>
      <c r="D1604" s="180" t="s">
        <v>299</v>
      </c>
      <c r="E1604" s="39">
        <v>43593</v>
      </c>
      <c r="F1604" s="179">
        <v>0.375</v>
      </c>
      <c r="G1604" s="180">
        <v>1</v>
      </c>
      <c r="H1604" s="180"/>
      <c r="I1604" s="180"/>
      <c r="J1604" s="180"/>
      <c r="K1604" s="180"/>
      <c r="L1604" s="180"/>
      <c r="M1604" s="180"/>
      <c r="N1604" s="180"/>
      <c r="O1604" s="180"/>
      <c r="P1604" s="180"/>
    </row>
    <row r="1605" spans="1:16" x14ac:dyDescent="0.45">
      <c r="A1605" s="180" t="s">
        <v>81</v>
      </c>
      <c r="B1605" s="73">
        <v>1</v>
      </c>
      <c r="C1605" s="73">
        <v>1</v>
      </c>
      <c r="D1605" s="180" t="s">
        <v>455</v>
      </c>
      <c r="E1605" s="39">
        <v>43593</v>
      </c>
      <c r="F1605" s="179">
        <v>0.41666666666666669</v>
      </c>
      <c r="G1605" s="180">
        <v>2</v>
      </c>
      <c r="H1605" s="180"/>
      <c r="I1605" s="180"/>
      <c r="J1605" s="180"/>
      <c r="K1605" s="180"/>
      <c r="L1605" s="180"/>
      <c r="M1605" s="180"/>
      <c r="N1605" s="180"/>
      <c r="O1605" s="180"/>
      <c r="P1605" s="180"/>
    </row>
    <row r="1606" spans="1:16" x14ac:dyDescent="0.45">
      <c r="A1606" s="180" t="s">
        <v>81</v>
      </c>
      <c r="B1606" s="73">
        <v>2</v>
      </c>
      <c r="C1606" s="73"/>
      <c r="D1606" s="180" t="s">
        <v>555</v>
      </c>
      <c r="E1606" s="39">
        <v>43594</v>
      </c>
      <c r="F1606" s="179">
        <v>0.44027777777777777</v>
      </c>
      <c r="G1606" s="180">
        <v>1</v>
      </c>
      <c r="H1606" s="180"/>
      <c r="I1606" s="180"/>
      <c r="J1606" s="180"/>
      <c r="K1606" s="180"/>
      <c r="L1606" s="180"/>
      <c r="M1606" s="180"/>
      <c r="N1606" s="180"/>
      <c r="O1606" s="180"/>
      <c r="P1606" s="180"/>
    </row>
    <row r="1607" spans="1:16" x14ac:dyDescent="0.45">
      <c r="A1607" s="180" t="s">
        <v>81</v>
      </c>
      <c r="B1607" s="73">
        <v>1</v>
      </c>
      <c r="C1607" s="73">
        <v>1</v>
      </c>
      <c r="D1607" s="180" t="s">
        <v>296</v>
      </c>
      <c r="E1607" s="39">
        <v>43594</v>
      </c>
      <c r="F1607" s="179">
        <v>0.42083333333333334</v>
      </c>
      <c r="G1607" s="180">
        <v>2</v>
      </c>
      <c r="H1607" s="180"/>
      <c r="I1607" s="180"/>
      <c r="J1607" s="180"/>
      <c r="K1607" s="180"/>
      <c r="L1607" s="180"/>
      <c r="M1607" s="180"/>
      <c r="N1607" s="180"/>
      <c r="O1607" s="180"/>
      <c r="P1607" s="180"/>
    </row>
    <row r="1608" spans="1:16" x14ac:dyDescent="0.45">
      <c r="A1608" s="180" t="s">
        <v>81</v>
      </c>
      <c r="B1608" s="73">
        <v>1</v>
      </c>
      <c r="C1608" s="73"/>
      <c r="D1608" s="180" t="s">
        <v>296</v>
      </c>
      <c r="E1608" s="39">
        <v>43594</v>
      </c>
      <c r="F1608" s="179">
        <v>0.71458333333333324</v>
      </c>
      <c r="G1608" s="180">
        <v>1</v>
      </c>
      <c r="H1608" s="180"/>
      <c r="I1608" s="180"/>
      <c r="J1608" s="180"/>
      <c r="K1608" s="180"/>
      <c r="L1608" s="180"/>
      <c r="M1608" s="180"/>
      <c r="N1608" s="180"/>
      <c r="O1608" s="180"/>
      <c r="P1608" s="180"/>
    </row>
    <row r="1609" spans="1:16" x14ac:dyDescent="0.45">
      <c r="A1609" s="180" t="s">
        <v>81</v>
      </c>
      <c r="B1609" s="73">
        <v>1</v>
      </c>
      <c r="C1609" s="73"/>
      <c r="D1609" s="180" t="s">
        <v>296</v>
      </c>
      <c r="E1609" s="39">
        <v>43594</v>
      </c>
      <c r="F1609" s="179">
        <v>0.28611111111111115</v>
      </c>
      <c r="G1609" s="180">
        <v>1</v>
      </c>
      <c r="H1609" s="180"/>
      <c r="I1609" s="180" t="s">
        <v>569</v>
      </c>
      <c r="J1609" s="180"/>
      <c r="K1609" s="180"/>
      <c r="L1609" s="180"/>
      <c r="M1609" s="180"/>
      <c r="N1609" s="180"/>
      <c r="O1609" s="180"/>
      <c r="P1609" s="180"/>
    </row>
    <row r="1610" spans="1:16" x14ac:dyDescent="0.45">
      <c r="A1610" s="180" t="s">
        <v>81</v>
      </c>
      <c r="B1610" s="73">
        <v>1</v>
      </c>
      <c r="C1610" s="73"/>
      <c r="D1610" s="180" t="s">
        <v>296</v>
      </c>
      <c r="E1610" s="39">
        <v>43594</v>
      </c>
      <c r="F1610" s="179">
        <v>0.42083333333333334</v>
      </c>
      <c r="G1610" s="180">
        <v>2</v>
      </c>
      <c r="H1610" s="180"/>
      <c r="I1610" s="180"/>
      <c r="J1610" s="180"/>
      <c r="K1610" s="180"/>
      <c r="L1610" s="180"/>
      <c r="M1610" s="180"/>
      <c r="N1610" s="180"/>
      <c r="O1610" s="180"/>
      <c r="P1610" s="180"/>
    </row>
    <row r="1611" spans="1:16" x14ac:dyDescent="0.45">
      <c r="A1611" s="180" t="s">
        <v>81</v>
      </c>
      <c r="B1611" s="73">
        <v>2</v>
      </c>
      <c r="C1611" s="73"/>
      <c r="D1611" s="180" t="s">
        <v>296</v>
      </c>
      <c r="E1611" s="39">
        <v>43594</v>
      </c>
      <c r="F1611" s="179">
        <v>0.26111111111111113</v>
      </c>
      <c r="G1611" s="180">
        <v>1</v>
      </c>
      <c r="H1611" s="180"/>
      <c r="I1611" s="180"/>
      <c r="J1611" s="180"/>
      <c r="K1611" s="180"/>
      <c r="L1611" s="180"/>
      <c r="M1611" s="180"/>
      <c r="N1611" s="180"/>
      <c r="O1611" s="180"/>
      <c r="P1611" s="180"/>
    </row>
    <row r="1612" spans="1:16" x14ac:dyDescent="0.45">
      <c r="A1612" s="180" t="s">
        <v>81</v>
      </c>
      <c r="B1612" s="73">
        <v>1</v>
      </c>
      <c r="C1612" s="73"/>
      <c r="D1612" s="180" t="s">
        <v>296</v>
      </c>
      <c r="E1612" s="39">
        <v>43594</v>
      </c>
      <c r="F1612" s="179">
        <v>0.42083333333333334</v>
      </c>
      <c r="G1612" s="180">
        <v>2</v>
      </c>
      <c r="H1612" s="180"/>
      <c r="I1612" s="180"/>
      <c r="J1612" s="180"/>
      <c r="K1612" s="180"/>
      <c r="L1612" s="180"/>
      <c r="M1612" s="180"/>
      <c r="N1612" s="180"/>
      <c r="O1612" s="180"/>
      <c r="P1612" s="180"/>
    </row>
    <row r="1613" spans="1:16" x14ac:dyDescent="0.45">
      <c r="A1613" s="180" t="s">
        <v>81</v>
      </c>
      <c r="B1613" s="73">
        <v>1</v>
      </c>
      <c r="C1613" s="73"/>
      <c r="D1613" s="180" t="s">
        <v>128</v>
      </c>
      <c r="E1613" s="39">
        <v>43595</v>
      </c>
      <c r="F1613" s="179">
        <v>0.6875</v>
      </c>
      <c r="G1613" s="180">
        <v>4</v>
      </c>
      <c r="H1613" s="180" t="s">
        <v>485</v>
      </c>
      <c r="I1613" s="180"/>
      <c r="J1613" s="180"/>
      <c r="K1613" s="180"/>
      <c r="L1613" s="180"/>
      <c r="M1613" s="180"/>
      <c r="N1613" s="180"/>
      <c r="O1613" s="180"/>
      <c r="P1613" s="180"/>
    </row>
    <row r="1614" spans="1:16" x14ac:dyDescent="0.45">
      <c r="A1614" s="180" t="s">
        <v>81</v>
      </c>
      <c r="B1614" s="73">
        <v>1</v>
      </c>
      <c r="C1614" s="73">
        <v>1</v>
      </c>
      <c r="D1614" s="180" t="s">
        <v>296</v>
      </c>
      <c r="E1614" s="39">
        <v>43595</v>
      </c>
      <c r="F1614" s="179">
        <v>0.8041666666666667</v>
      </c>
      <c r="G1614" s="180">
        <v>1</v>
      </c>
      <c r="H1614" s="180" t="s">
        <v>490</v>
      </c>
      <c r="I1614" s="180"/>
      <c r="J1614" s="180"/>
      <c r="K1614" s="180"/>
      <c r="L1614" s="180"/>
      <c r="M1614" s="180"/>
      <c r="N1614" s="180"/>
      <c r="O1614" s="180"/>
      <c r="P1614" s="180"/>
    </row>
    <row r="1615" spans="1:16" x14ac:dyDescent="0.45">
      <c r="A1615" s="180" t="s">
        <v>81</v>
      </c>
      <c r="B1615" s="73">
        <v>1</v>
      </c>
      <c r="C1615" s="73"/>
      <c r="D1615" s="180" t="s">
        <v>296</v>
      </c>
      <c r="E1615" s="39">
        <v>43595</v>
      </c>
      <c r="F1615" s="179">
        <v>0.76874999999999993</v>
      </c>
      <c r="G1615" s="180">
        <v>1</v>
      </c>
      <c r="H1615" s="180"/>
      <c r="I1615" s="180"/>
      <c r="J1615" s="180"/>
      <c r="K1615" s="180"/>
      <c r="L1615" s="180"/>
      <c r="M1615" s="180"/>
      <c r="N1615" s="180"/>
      <c r="O1615" s="180"/>
      <c r="P1615" s="180"/>
    </row>
    <row r="1616" spans="1:16" x14ac:dyDescent="0.45">
      <c r="A1616" s="180" t="s">
        <v>81</v>
      </c>
      <c r="B1616" s="73">
        <v>1</v>
      </c>
      <c r="C1616" s="73"/>
      <c r="D1616" s="180" t="s">
        <v>296</v>
      </c>
      <c r="E1616" s="39">
        <v>43595</v>
      </c>
      <c r="F1616" s="179">
        <v>0.75</v>
      </c>
      <c r="G1616" s="180">
        <v>1</v>
      </c>
      <c r="H1616" s="180"/>
      <c r="I1616" s="180"/>
      <c r="J1616" s="180"/>
      <c r="K1616" s="180"/>
      <c r="L1616" s="180"/>
      <c r="M1616" s="180"/>
      <c r="N1616" s="180"/>
      <c r="O1616" s="180"/>
      <c r="P1616" s="180"/>
    </row>
    <row r="1617" spans="1:16" x14ac:dyDescent="0.45">
      <c r="A1617" s="180" t="s">
        <v>81</v>
      </c>
      <c r="B1617" s="73">
        <v>1</v>
      </c>
      <c r="C1617" s="73"/>
      <c r="D1617" s="180" t="s">
        <v>378</v>
      </c>
      <c r="E1617" s="39">
        <v>43596</v>
      </c>
      <c r="F1617" s="179">
        <v>0.27499999999999997</v>
      </c>
      <c r="G1617" s="180">
        <v>4</v>
      </c>
      <c r="H1617" s="180" t="s">
        <v>383</v>
      </c>
      <c r="I1617" s="180"/>
      <c r="J1617" s="180"/>
      <c r="K1617" s="180"/>
      <c r="L1617" s="180"/>
      <c r="M1617" s="180"/>
      <c r="N1617" s="180"/>
      <c r="O1617" s="180"/>
      <c r="P1617" s="180"/>
    </row>
    <row r="1618" spans="1:16" x14ac:dyDescent="0.45">
      <c r="A1618" s="180" t="s">
        <v>81</v>
      </c>
      <c r="B1618" s="73">
        <v>1</v>
      </c>
      <c r="C1618" s="73"/>
      <c r="D1618" s="180" t="s">
        <v>570</v>
      </c>
      <c r="E1618" s="39">
        <v>43596</v>
      </c>
      <c r="F1618" s="179">
        <v>0.2388888888888889</v>
      </c>
      <c r="G1618" s="180">
        <v>1</v>
      </c>
      <c r="H1618" s="180"/>
      <c r="I1618" s="180"/>
      <c r="J1618" s="180"/>
      <c r="K1618" s="180"/>
      <c r="L1618" s="180"/>
      <c r="M1618" s="180"/>
      <c r="N1618" s="180"/>
      <c r="O1618" s="180"/>
      <c r="P1618" s="180"/>
    </row>
    <row r="1619" spans="1:16" x14ac:dyDescent="0.45">
      <c r="A1619" s="180" t="s">
        <v>81</v>
      </c>
      <c r="B1619" s="73">
        <v>2</v>
      </c>
      <c r="C1619" s="73">
        <v>2</v>
      </c>
      <c r="D1619" s="180" t="s">
        <v>565</v>
      </c>
      <c r="E1619" s="39">
        <v>43596</v>
      </c>
      <c r="F1619" s="179">
        <v>0.93680555555555556</v>
      </c>
      <c r="G1619" s="180">
        <v>1</v>
      </c>
      <c r="H1619" s="180"/>
      <c r="I1619" s="180"/>
      <c r="J1619" s="180"/>
      <c r="K1619" s="180"/>
      <c r="L1619" s="180"/>
      <c r="M1619" s="180"/>
      <c r="N1619" s="180"/>
      <c r="O1619" s="180"/>
      <c r="P1619" s="180"/>
    </row>
    <row r="1620" spans="1:16" x14ac:dyDescent="0.45">
      <c r="A1620" s="180" t="s">
        <v>81</v>
      </c>
      <c r="B1620" s="73">
        <v>2</v>
      </c>
      <c r="C1620" s="73"/>
      <c r="D1620" s="180" t="s">
        <v>324</v>
      </c>
      <c r="E1620" s="39">
        <v>43596</v>
      </c>
      <c r="F1620" s="179">
        <v>0.28333333333333333</v>
      </c>
      <c r="G1620" s="180">
        <v>2</v>
      </c>
      <c r="H1620" s="180"/>
      <c r="I1620" s="180"/>
      <c r="J1620" s="180"/>
      <c r="K1620" s="180"/>
      <c r="L1620" s="180"/>
      <c r="M1620" s="180"/>
      <c r="N1620" s="180"/>
      <c r="O1620" s="180"/>
      <c r="P1620" s="180"/>
    </row>
    <row r="1621" spans="1:16" x14ac:dyDescent="0.45">
      <c r="A1621" s="180" t="s">
        <v>81</v>
      </c>
      <c r="B1621" s="73">
        <v>1</v>
      </c>
      <c r="C1621" s="73">
        <v>1</v>
      </c>
      <c r="D1621" s="180" t="s">
        <v>571</v>
      </c>
      <c r="E1621" s="39">
        <v>43596</v>
      </c>
      <c r="F1621" s="179">
        <v>0.42708333333333331</v>
      </c>
      <c r="G1621" s="180">
        <v>8</v>
      </c>
      <c r="H1621" s="180"/>
      <c r="I1621" s="180"/>
      <c r="J1621" s="180"/>
      <c r="K1621" s="180"/>
      <c r="L1621" s="180"/>
      <c r="M1621" s="180"/>
      <c r="N1621" s="180"/>
      <c r="O1621" s="180"/>
      <c r="P1621" s="180"/>
    </row>
    <row r="1622" spans="1:16" x14ac:dyDescent="0.45">
      <c r="A1622" s="180" t="s">
        <v>81</v>
      </c>
      <c r="B1622" s="73">
        <v>2</v>
      </c>
      <c r="C1622" s="73"/>
      <c r="D1622" s="180" t="s">
        <v>425</v>
      </c>
      <c r="E1622" s="39">
        <v>43596</v>
      </c>
      <c r="F1622" s="179">
        <v>0.44444444444444442</v>
      </c>
      <c r="G1622" s="180">
        <v>8</v>
      </c>
      <c r="H1622" s="180"/>
      <c r="I1622" s="180"/>
      <c r="J1622" s="180"/>
      <c r="K1622" s="180"/>
      <c r="L1622" s="180"/>
      <c r="M1622" s="180"/>
      <c r="N1622" s="180"/>
      <c r="O1622" s="180"/>
      <c r="P1622" s="180"/>
    </row>
    <row r="1623" spans="1:16" x14ac:dyDescent="0.45">
      <c r="A1623" s="180" t="s">
        <v>81</v>
      </c>
      <c r="B1623" s="73">
        <v>2</v>
      </c>
      <c r="C1623" s="73">
        <v>2</v>
      </c>
      <c r="D1623" s="180" t="s">
        <v>296</v>
      </c>
      <c r="E1623" s="39">
        <v>43596</v>
      </c>
      <c r="F1623" s="179">
        <v>0.46249999999999997</v>
      </c>
      <c r="G1623" s="180">
        <v>2</v>
      </c>
      <c r="H1623" s="180"/>
      <c r="I1623" s="180"/>
      <c r="J1623" s="180"/>
      <c r="K1623" s="180"/>
      <c r="L1623" s="180"/>
      <c r="M1623" s="180"/>
      <c r="N1623" s="180"/>
      <c r="O1623" s="180"/>
      <c r="P1623" s="180"/>
    </row>
    <row r="1624" spans="1:16" x14ac:dyDescent="0.45">
      <c r="A1624" s="180" t="s">
        <v>81</v>
      </c>
      <c r="B1624" s="73">
        <v>2</v>
      </c>
      <c r="C1624" s="73"/>
      <c r="D1624" s="180" t="s">
        <v>296</v>
      </c>
      <c r="E1624" s="39">
        <v>43596</v>
      </c>
      <c r="F1624" s="179">
        <v>0.27083333333333331</v>
      </c>
      <c r="G1624" s="180">
        <v>1</v>
      </c>
      <c r="H1624" s="180"/>
      <c r="I1624" s="180"/>
      <c r="J1624" s="180"/>
      <c r="K1624" s="180"/>
      <c r="L1624" s="180"/>
      <c r="M1624" s="180"/>
      <c r="N1624" s="180"/>
      <c r="O1624" s="180"/>
      <c r="P1624" s="180"/>
    </row>
    <row r="1625" spans="1:16" x14ac:dyDescent="0.45">
      <c r="A1625" s="180" t="s">
        <v>81</v>
      </c>
      <c r="B1625" s="73">
        <v>1</v>
      </c>
      <c r="C1625" s="73"/>
      <c r="D1625" s="180" t="s">
        <v>296</v>
      </c>
      <c r="E1625" s="39">
        <v>43596</v>
      </c>
      <c r="F1625" s="179">
        <v>0.53888888888888886</v>
      </c>
      <c r="G1625" s="180">
        <v>22</v>
      </c>
      <c r="H1625" s="180" t="s">
        <v>572</v>
      </c>
      <c r="I1625" s="180"/>
      <c r="J1625" s="180"/>
      <c r="K1625" s="180"/>
      <c r="L1625" s="180"/>
      <c r="M1625" s="180"/>
      <c r="N1625" s="180"/>
      <c r="O1625" s="180"/>
      <c r="P1625" s="180"/>
    </row>
    <row r="1626" spans="1:16" x14ac:dyDescent="0.45">
      <c r="A1626" s="180" t="s">
        <v>81</v>
      </c>
      <c r="B1626" s="73">
        <v>1</v>
      </c>
      <c r="C1626" s="73"/>
      <c r="D1626" s="180" t="s">
        <v>296</v>
      </c>
      <c r="E1626" s="39">
        <v>43596</v>
      </c>
      <c r="F1626" s="179">
        <v>0.28194444444444444</v>
      </c>
      <c r="G1626" s="180">
        <v>1</v>
      </c>
      <c r="H1626" s="180"/>
      <c r="I1626" s="180"/>
      <c r="J1626" s="180"/>
      <c r="K1626" s="180"/>
      <c r="L1626" s="180"/>
      <c r="M1626" s="180"/>
      <c r="N1626" s="180"/>
      <c r="O1626" s="180"/>
      <c r="P1626" s="180"/>
    </row>
    <row r="1627" spans="1:16" x14ac:dyDescent="0.45">
      <c r="A1627" s="180" t="s">
        <v>81</v>
      </c>
      <c r="B1627" s="73">
        <v>2</v>
      </c>
      <c r="C1627" s="73"/>
      <c r="D1627" s="180" t="s">
        <v>296</v>
      </c>
      <c r="E1627" s="39">
        <v>43596</v>
      </c>
      <c r="F1627" s="179">
        <v>0.46249999999999997</v>
      </c>
      <c r="G1627" s="180">
        <v>2</v>
      </c>
      <c r="H1627" s="180"/>
      <c r="I1627" s="180"/>
      <c r="J1627" s="180"/>
      <c r="K1627" s="180"/>
      <c r="L1627" s="180"/>
      <c r="M1627" s="180"/>
      <c r="N1627" s="180"/>
      <c r="O1627" s="180"/>
      <c r="P1627" s="180"/>
    </row>
    <row r="1628" spans="1:16" x14ac:dyDescent="0.45">
      <c r="A1628" s="180" t="s">
        <v>81</v>
      </c>
      <c r="B1628" s="73">
        <v>1</v>
      </c>
      <c r="C1628" s="73"/>
      <c r="D1628" s="180" t="s">
        <v>296</v>
      </c>
      <c r="E1628" s="39">
        <v>43596</v>
      </c>
      <c r="F1628" s="179">
        <v>0.68472222222222223</v>
      </c>
      <c r="G1628" s="180">
        <v>2</v>
      </c>
      <c r="H1628" s="180"/>
      <c r="I1628" s="180" t="s">
        <v>573</v>
      </c>
      <c r="J1628" s="180"/>
      <c r="K1628" s="180"/>
      <c r="L1628" s="180"/>
      <c r="M1628" s="180"/>
      <c r="N1628" s="180"/>
      <c r="O1628" s="180"/>
      <c r="P1628" s="180"/>
    </row>
    <row r="1629" spans="1:16" x14ac:dyDescent="0.45">
      <c r="A1629" s="180" t="s">
        <v>81</v>
      </c>
      <c r="B1629" s="73">
        <v>1</v>
      </c>
      <c r="C1629" s="73"/>
      <c r="D1629" s="180" t="s">
        <v>296</v>
      </c>
      <c r="E1629" s="39">
        <v>43596</v>
      </c>
      <c r="F1629" s="179">
        <v>0.68472222222222223</v>
      </c>
      <c r="G1629" s="180">
        <v>2</v>
      </c>
      <c r="H1629" s="180"/>
      <c r="I1629" s="180"/>
      <c r="J1629" s="180"/>
      <c r="K1629" s="180"/>
      <c r="L1629" s="180"/>
      <c r="M1629" s="180"/>
      <c r="N1629" s="180"/>
      <c r="O1629" s="180"/>
      <c r="P1629" s="180"/>
    </row>
    <row r="1630" spans="1:16" x14ac:dyDescent="0.45">
      <c r="A1630" s="180" t="s">
        <v>81</v>
      </c>
      <c r="B1630" s="73">
        <v>1</v>
      </c>
      <c r="C1630" s="73"/>
      <c r="D1630" s="180" t="s">
        <v>296</v>
      </c>
      <c r="E1630" s="39">
        <v>43596</v>
      </c>
      <c r="F1630" s="179">
        <v>0.30694444444444441</v>
      </c>
      <c r="G1630" s="180">
        <v>1</v>
      </c>
      <c r="H1630" s="180" t="s">
        <v>481</v>
      </c>
      <c r="I1630" s="180"/>
      <c r="J1630" s="180"/>
      <c r="K1630" s="180"/>
      <c r="L1630" s="180"/>
      <c r="M1630" s="180"/>
      <c r="N1630" s="180"/>
      <c r="O1630" s="180"/>
      <c r="P1630" s="180"/>
    </row>
    <row r="1631" spans="1:16" x14ac:dyDescent="0.45">
      <c r="A1631" s="180" t="s">
        <v>81</v>
      </c>
      <c r="B1631" s="73">
        <v>1</v>
      </c>
      <c r="C1631" s="73">
        <v>1</v>
      </c>
      <c r="D1631" s="180" t="s">
        <v>271</v>
      </c>
      <c r="E1631" s="39">
        <v>43596</v>
      </c>
      <c r="F1631" s="179">
        <v>0.33333333333333331</v>
      </c>
      <c r="G1631" s="180">
        <v>10</v>
      </c>
      <c r="H1631" s="180" t="s">
        <v>325</v>
      </c>
      <c r="I1631" s="180"/>
      <c r="J1631" s="180"/>
      <c r="K1631" s="180"/>
      <c r="L1631" s="180"/>
      <c r="M1631" s="180"/>
      <c r="N1631" s="180"/>
      <c r="O1631" s="180"/>
      <c r="P1631" s="180"/>
    </row>
    <row r="1632" spans="1:16" x14ac:dyDescent="0.45">
      <c r="A1632" s="180" t="s">
        <v>81</v>
      </c>
      <c r="B1632" s="73">
        <v>1</v>
      </c>
      <c r="C1632" s="73"/>
      <c r="D1632" s="180" t="s">
        <v>271</v>
      </c>
      <c r="E1632" s="39">
        <v>43596</v>
      </c>
      <c r="F1632" s="179">
        <v>0.50138888888888888</v>
      </c>
      <c r="G1632" s="180">
        <v>1</v>
      </c>
      <c r="H1632" s="180"/>
      <c r="I1632" s="180"/>
      <c r="J1632" s="180"/>
      <c r="K1632" s="180"/>
      <c r="L1632" s="180"/>
      <c r="M1632" s="180"/>
      <c r="N1632" s="180"/>
      <c r="O1632" s="180"/>
      <c r="P1632" s="180"/>
    </row>
    <row r="1633" spans="1:16" x14ac:dyDescent="0.45">
      <c r="A1633" s="180" t="s">
        <v>81</v>
      </c>
      <c r="B1633" s="73">
        <v>2</v>
      </c>
      <c r="C1633" s="73">
        <v>2</v>
      </c>
      <c r="D1633" s="180" t="s">
        <v>452</v>
      </c>
      <c r="E1633" s="39">
        <v>43596</v>
      </c>
      <c r="F1633" s="179">
        <v>0.29166666666666669</v>
      </c>
      <c r="G1633" s="180">
        <v>17</v>
      </c>
      <c r="H1633" s="180"/>
      <c r="I1633" s="180"/>
      <c r="J1633" s="180"/>
      <c r="K1633" s="180"/>
      <c r="L1633" s="180"/>
      <c r="M1633" s="180"/>
      <c r="N1633" s="180"/>
      <c r="O1633" s="180"/>
      <c r="P1633" s="180"/>
    </row>
    <row r="1634" spans="1:16" x14ac:dyDescent="0.45">
      <c r="A1634" s="180" t="s">
        <v>81</v>
      </c>
      <c r="B1634" s="73">
        <v>2</v>
      </c>
      <c r="C1634" s="73"/>
      <c r="D1634" s="180" t="s">
        <v>452</v>
      </c>
      <c r="E1634" s="39">
        <v>43596</v>
      </c>
      <c r="F1634" s="179">
        <v>0.30833333333333335</v>
      </c>
      <c r="G1634" s="180">
        <v>1</v>
      </c>
      <c r="H1634" s="180"/>
      <c r="I1634" s="180"/>
      <c r="J1634" s="180"/>
      <c r="K1634" s="180"/>
      <c r="L1634" s="180"/>
      <c r="M1634" s="180"/>
      <c r="N1634" s="180"/>
      <c r="O1634" s="180"/>
      <c r="P1634" s="180"/>
    </row>
    <row r="1635" spans="1:16" x14ac:dyDescent="0.45">
      <c r="A1635" s="180" t="s">
        <v>81</v>
      </c>
      <c r="B1635" s="73">
        <v>6</v>
      </c>
      <c r="C1635" s="73"/>
      <c r="D1635" s="180" t="s">
        <v>529</v>
      </c>
      <c r="E1635" s="39">
        <v>43596</v>
      </c>
      <c r="F1635" s="179">
        <v>0.4375</v>
      </c>
      <c r="G1635" s="180">
        <v>4</v>
      </c>
      <c r="H1635" s="180" t="s">
        <v>530</v>
      </c>
      <c r="I1635" s="180"/>
      <c r="J1635" s="180"/>
      <c r="K1635" s="180"/>
      <c r="L1635" s="180"/>
      <c r="M1635" s="180"/>
      <c r="N1635" s="180"/>
      <c r="O1635" s="180"/>
      <c r="P1635" s="180"/>
    </row>
    <row r="1636" spans="1:16" x14ac:dyDescent="0.45">
      <c r="A1636" s="180" t="s">
        <v>81</v>
      </c>
      <c r="B1636" s="73">
        <v>1</v>
      </c>
      <c r="C1636" s="73"/>
      <c r="D1636" s="180" t="s">
        <v>294</v>
      </c>
      <c r="E1636" s="39">
        <v>43597</v>
      </c>
      <c r="F1636" s="179">
        <v>0.34236111111111112</v>
      </c>
      <c r="G1636" s="180">
        <v>2</v>
      </c>
      <c r="H1636" s="180"/>
      <c r="I1636" s="180"/>
      <c r="J1636" s="180"/>
      <c r="K1636" s="180"/>
      <c r="L1636" s="180"/>
      <c r="M1636" s="180"/>
      <c r="N1636" s="180"/>
      <c r="O1636" s="180"/>
      <c r="P1636" s="180"/>
    </row>
    <row r="1637" spans="1:16" x14ac:dyDescent="0.45">
      <c r="A1637" s="180" t="s">
        <v>81</v>
      </c>
      <c r="B1637" s="73">
        <v>2</v>
      </c>
      <c r="C1637" s="73"/>
      <c r="D1637" s="180" t="s">
        <v>395</v>
      </c>
      <c r="E1637" s="39">
        <v>43597</v>
      </c>
      <c r="F1637" s="179">
        <v>0.3125</v>
      </c>
      <c r="G1637" s="180">
        <v>1</v>
      </c>
      <c r="H1637" s="180" t="s">
        <v>396</v>
      </c>
      <c r="I1637" s="180"/>
      <c r="J1637" s="180"/>
      <c r="K1637" s="180"/>
      <c r="L1637" s="180"/>
      <c r="M1637" s="180"/>
      <c r="N1637" s="180"/>
      <c r="O1637" s="180"/>
      <c r="P1637" s="180"/>
    </row>
    <row r="1638" spans="1:16" x14ac:dyDescent="0.45">
      <c r="A1638" s="180" t="s">
        <v>81</v>
      </c>
      <c r="B1638" s="73">
        <v>2</v>
      </c>
      <c r="C1638" s="73"/>
      <c r="D1638" s="180" t="s">
        <v>296</v>
      </c>
      <c r="E1638" s="39">
        <v>43597</v>
      </c>
      <c r="F1638" s="179">
        <v>0.59166666666666667</v>
      </c>
      <c r="G1638" s="180">
        <v>6</v>
      </c>
      <c r="H1638" s="180" t="s">
        <v>449</v>
      </c>
      <c r="I1638" s="180" t="s">
        <v>574</v>
      </c>
      <c r="J1638" s="180"/>
      <c r="K1638" s="180"/>
      <c r="L1638" s="180"/>
      <c r="M1638" s="180"/>
      <c r="N1638" s="180"/>
      <c r="O1638" s="180"/>
      <c r="P1638" s="180"/>
    </row>
    <row r="1639" spans="1:16" x14ac:dyDescent="0.45">
      <c r="A1639" s="180" t="s">
        <v>81</v>
      </c>
      <c r="B1639" s="73">
        <v>5</v>
      </c>
      <c r="C1639" s="73">
        <v>5</v>
      </c>
      <c r="D1639" s="180" t="s">
        <v>296</v>
      </c>
      <c r="E1639" s="39">
        <v>43597</v>
      </c>
      <c r="F1639" s="179">
        <v>0.27361111111111108</v>
      </c>
      <c r="G1639" s="180">
        <v>6</v>
      </c>
      <c r="H1639" s="180" t="s">
        <v>297</v>
      </c>
      <c r="I1639" s="180" t="s">
        <v>574</v>
      </c>
      <c r="J1639" s="180"/>
      <c r="K1639" s="180"/>
      <c r="L1639" s="180"/>
      <c r="M1639" s="180"/>
      <c r="N1639" s="180"/>
      <c r="O1639" s="180"/>
      <c r="P1639" s="180"/>
    </row>
    <row r="1640" spans="1:16" x14ac:dyDescent="0.45">
      <c r="A1640" s="180" t="s">
        <v>81</v>
      </c>
      <c r="B1640" s="73">
        <v>2</v>
      </c>
      <c r="C1640" s="73"/>
      <c r="D1640" s="180" t="s">
        <v>296</v>
      </c>
      <c r="E1640" s="39">
        <v>43597</v>
      </c>
      <c r="F1640" s="179">
        <v>0.45208333333333334</v>
      </c>
      <c r="G1640" s="180">
        <v>1</v>
      </c>
      <c r="H1640" s="180"/>
      <c r="I1640" s="180"/>
      <c r="J1640" s="180"/>
      <c r="K1640" s="180"/>
      <c r="L1640" s="180"/>
      <c r="M1640" s="180"/>
      <c r="N1640" s="180"/>
      <c r="O1640" s="180"/>
      <c r="P1640" s="180"/>
    </row>
    <row r="1641" spans="1:16" x14ac:dyDescent="0.45">
      <c r="A1641" s="180" t="s">
        <v>81</v>
      </c>
      <c r="B1641" s="73">
        <v>2</v>
      </c>
      <c r="C1641" s="73"/>
      <c r="D1641" s="180" t="s">
        <v>296</v>
      </c>
      <c r="E1641" s="39">
        <v>43597</v>
      </c>
      <c r="F1641" s="179">
        <v>0.31805555555555554</v>
      </c>
      <c r="G1641" s="180">
        <v>1</v>
      </c>
      <c r="H1641" s="180"/>
      <c r="I1641" s="180"/>
      <c r="J1641" s="180"/>
      <c r="K1641" s="180"/>
      <c r="L1641" s="180"/>
      <c r="M1641" s="180"/>
      <c r="N1641" s="180"/>
      <c r="O1641" s="180"/>
      <c r="P1641" s="180"/>
    </row>
    <row r="1642" spans="1:16" x14ac:dyDescent="0.45">
      <c r="A1642" s="180" t="s">
        <v>81</v>
      </c>
      <c r="B1642" s="73">
        <v>1</v>
      </c>
      <c r="C1642" s="73"/>
      <c r="D1642" s="180" t="s">
        <v>296</v>
      </c>
      <c r="E1642" s="39">
        <v>43597</v>
      </c>
      <c r="F1642" s="179">
        <v>0.30902777777777779</v>
      </c>
      <c r="G1642" s="180">
        <v>10</v>
      </c>
      <c r="H1642" s="180" t="s">
        <v>449</v>
      </c>
      <c r="I1642" s="180"/>
      <c r="J1642" s="180"/>
      <c r="K1642" s="180"/>
      <c r="L1642" s="180"/>
      <c r="M1642" s="180"/>
      <c r="N1642" s="180"/>
      <c r="O1642" s="180"/>
      <c r="P1642" s="180"/>
    </row>
    <row r="1643" spans="1:16" x14ac:dyDescent="0.45">
      <c r="A1643" s="180" t="s">
        <v>81</v>
      </c>
      <c r="B1643" s="73">
        <v>1</v>
      </c>
      <c r="C1643" s="73"/>
      <c r="D1643" s="180" t="s">
        <v>296</v>
      </c>
      <c r="E1643" s="39">
        <v>43597</v>
      </c>
      <c r="F1643" s="179">
        <v>0.3125</v>
      </c>
      <c r="G1643" s="180">
        <v>1</v>
      </c>
      <c r="H1643" s="180"/>
      <c r="I1643" s="180"/>
      <c r="J1643" s="180"/>
      <c r="K1643" s="180"/>
      <c r="L1643" s="180"/>
      <c r="M1643" s="180"/>
      <c r="N1643" s="180"/>
      <c r="O1643" s="180"/>
      <c r="P1643" s="180"/>
    </row>
    <row r="1644" spans="1:16" x14ac:dyDescent="0.45">
      <c r="A1644" s="180" t="s">
        <v>81</v>
      </c>
      <c r="B1644" s="73">
        <v>2</v>
      </c>
      <c r="C1644" s="73"/>
      <c r="D1644" s="180" t="s">
        <v>296</v>
      </c>
      <c r="E1644" s="39">
        <v>43597</v>
      </c>
      <c r="F1644" s="179">
        <v>0.40625</v>
      </c>
      <c r="G1644" s="180">
        <v>1</v>
      </c>
      <c r="H1644" s="180" t="s">
        <v>575</v>
      </c>
      <c r="I1644" s="180"/>
      <c r="J1644" s="180"/>
      <c r="K1644" s="180"/>
      <c r="L1644" s="180"/>
      <c r="M1644" s="180"/>
      <c r="N1644" s="180"/>
      <c r="O1644" s="180"/>
      <c r="P1644" s="180"/>
    </row>
    <row r="1645" spans="1:16" x14ac:dyDescent="0.45">
      <c r="A1645" s="180" t="s">
        <v>81</v>
      </c>
      <c r="B1645" s="73">
        <v>3</v>
      </c>
      <c r="C1645" s="73"/>
      <c r="D1645" s="180" t="s">
        <v>296</v>
      </c>
      <c r="E1645" s="39">
        <v>43597</v>
      </c>
      <c r="F1645" s="179">
        <v>0.26597222222222222</v>
      </c>
      <c r="G1645" s="180">
        <v>20</v>
      </c>
      <c r="H1645" s="180"/>
      <c r="I1645" s="180"/>
      <c r="J1645" s="180"/>
      <c r="K1645" s="180"/>
      <c r="L1645" s="180"/>
      <c r="M1645" s="180"/>
      <c r="N1645" s="180"/>
      <c r="O1645" s="180"/>
      <c r="P1645" s="180"/>
    </row>
    <row r="1646" spans="1:16" x14ac:dyDescent="0.45">
      <c r="A1646" s="180" t="s">
        <v>81</v>
      </c>
      <c r="B1646" s="73">
        <v>5</v>
      </c>
      <c r="C1646" s="73"/>
      <c r="D1646" s="180" t="s">
        <v>296</v>
      </c>
      <c r="E1646" s="39">
        <v>43597</v>
      </c>
      <c r="F1646" s="179">
        <v>0.34375</v>
      </c>
      <c r="G1646" s="180">
        <v>4</v>
      </c>
      <c r="H1646" s="180"/>
      <c r="I1646" s="180"/>
      <c r="J1646" s="180"/>
      <c r="K1646" s="180"/>
      <c r="L1646" s="180"/>
      <c r="M1646" s="180"/>
      <c r="N1646" s="180"/>
      <c r="O1646" s="180"/>
      <c r="P1646" s="180"/>
    </row>
    <row r="1647" spans="1:16" x14ac:dyDescent="0.45">
      <c r="A1647" s="180" t="s">
        <v>81</v>
      </c>
      <c r="B1647" s="73">
        <v>1</v>
      </c>
      <c r="C1647" s="73"/>
      <c r="D1647" s="180" t="s">
        <v>296</v>
      </c>
      <c r="E1647" s="39">
        <v>43597</v>
      </c>
      <c r="F1647" s="179">
        <v>0.29166666666666669</v>
      </c>
      <c r="G1647" s="180">
        <v>1</v>
      </c>
      <c r="H1647" s="180" t="s">
        <v>450</v>
      </c>
      <c r="I1647" s="180"/>
      <c r="J1647" s="180"/>
      <c r="K1647" s="180"/>
      <c r="L1647" s="180"/>
      <c r="M1647" s="180"/>
      <c r="N1647" s="180"/>
      <c r="O1647" s="180"/>
      <c r="P1647" s="180"/>
    </row>
    <row r="1648" spans="1:16" x14ac:dyDescent="0.45">
      <c r="A1648" s="180" t="s">
        <v>81</v>
      </c>
      <c r="B1648" s="73">
        <v>3</v>
      </c>
      <c r="C1648" s="73"/>
      <c r="D1648" s="180" t="s">
        <v>296</v>
      </c>
      <c r="E1648" s="39">
        <v>43597</v>
      </c>
      <c r="F1648" s="179">
        <v>0.31944444444444448</v>
      </c>
      <c r="G1648" s="180">
        <v>1</v>
      </c>
      <c r="H1648" s="180" t="s">
        <v>448</v>
      </c>
      <c r="I1648" s="180"/>
      <c r="J1648" s="180"/>
      <c r="K1648" s="180"/>
      <c r="L1648" s="180"/>
      <c r="M1648" s="180"/>
      <c r="N1648" s="180"/>
      <c r="O1648" s="180"/>
      <c r="P1648" s="180"/>
    </row>
    <row r="1649" spans="1:16" x14ac:dyDescent="0.45">
      <c r="A1649" s="180" t="s">
        <v>81</v>
      </c>
      <c r="B1649" s="73">
        <v>1</v>
      </c>
      <c r="C1649" s="73">
        <v>1</v>
      </c>
      <c r="D1649" s="180" t="s">
        <v>576</v>
      </c>
      <c r="E1649" s="39">
        <v>43597</v>
      </c>
      <c r="F1649" s="179">
        <v>0.71875</v>
      </c>
      <c r="G1649" s="180">
        <v>2</v>
      </c>
      <c r="H1649" s="180"/>
      <c r="I1649" s="180"/>
      <c r="J1649" s="180"/>
      <c r="K1649" s="180"/>
      <c r="L1649" s="180"/>
      <c r="M1649" s="180"/>
      <c r="N1649" s="180"/>
      <c r="O1649" s="180"/>
      <c r="P1649" s="180"/>
    </row>
    <row r="1650" spans="1:16" x14ac:dyDescent="0.45">
      <c r="A1650" s="180" t="s">
        <v>81</v>
      </c>
      <c r="B1650" s="73">
        <v>1</v>
      </c>
      <c r="C1650" s="73">
        <v>1</v>
      </c>
      <c r="D1650" s="180" t="s">
        <v>452</v>
      </c>
      <c r="E1650" s="39">
        <v>43597</v>
      </c>
      <c r="F1650" s="179">
        <v>0.5</v>
      </c>
      <c r="G1650" s="180">
        <v>3</v>
      </c>
      <c r="H1650" s="180"/>
      <c r="I1650" s="180"/>
      <c r="J1650" s="180"/>
      <c r="K1650" s="180"/>
      <c r="L1650" s="180"/>
      <c r="M1650" s="180"/>
      <c r="N1650" s="180"/>
      <c r="O1650" s="180"/>
      <c r="P1650" s="180"/>
    </row>
    <row r="1651" spans="1:16" x14ac:dyDescent="0.45">
      <c r="A1651" s="180" t="s">
        <v>81</v>
      </c>
      <c r="B1651" s="73">
        <v>1</v>
      </c>
      <c r="C1651" s="73"/>
      <c r="D1651" s="180" t="s">
        <v>452</v>
      </c>
      <c r="E1651" s="39">
        <v>43597</v>
      </c>
      <c r="F1651" s="179">
        <v>0.5</v>
      </c>
      <c r="G1651" s="180">
        <v>3</v>
      </c>
      <c r="H1651" s="180"/>
      <c r="I1651" s="180"/>
      <c r="J1651" s="180"/>
      <c r="K1651" s="180"/>
      <c r="L1651" s="180"/>
      <c r="M1651" s="180"/>
      <c r="N1651" s="180"/>
      <c r="O1651" s="180"/>
      <c r="P1651" s="180"/>
    </row>
    <row r="1652" spans="1:16" x14ac:dyDescent="0.45">
      <c r="A1652" s="180" t="s">
        <v>81</v>
      </c>
      <c r="B1652" s="73">
        <v>1</v>
      </c>
      <c r="C1652" s="73"/>
      <c r="D1652" s="180" t="s">
        <v>452</v>
      </c>
      <c r="E1652" s="39">
        <v>43597</v>
      </c>
      <c r="F1652" s="179">
        <v>0.5</v>
      </c>
      <c r="G1652" s="180">
        <v>3</v>
      </c>
      <c r="H1652" s="180"/>
      <c r="I1652" s="180"/>
      <c r="J1652" s="180"/>
      <c r="K1652" s="180"/>
      <c r="L1652" s="180"/>
      <c r="M1652" s="180"/>
      <c r="N1652" s="180"/>
      <c r="O1652" s="180"/>
      <c r="P1652" s="180"/>
    </row>
    <row r="1653" spans="1:16" x14ac:dyDescent="0.45">
      <c r="A1653" s="180" t="s">
        <v>81</v>
      </c>
      <c r="B1653" s="73">
        <v>1</v>
      </c>
      <c r="C1653" s="73"/>
      <c r="D1653" s="180" t="s">
        <v>452</v>
      </c>
      <c r="E1653" s="39">
        <v>43597</v>
      </c>
      <c r="F1653" s="179">
        <v>0.5</v>
      </c>
      <c r="G1653" s="180">
        <v>3</v>
      </c>
      <c r="H1653" s="180"/>
      <c r="I1653" s="180"/>
      <c r="J1653" s="180"/>
      <c r="K1653" s="180"/>
      <c r="L1653" s="180"/>
      <c r="M1653" s="180"/>
      <c r="N1653" s="180"/>
      <c r="O1653" s="180"/>
      <c r="P1653" s="180"/>
    </row>
    <row r="1654" spans="1:16" x14ac:dyDescent="0.45">
      <c r="A1654" s="180" t="s">
        <v>81</v>
      </c>
      <c r="B1654" s="73">
        <v>1</v>
      </c>
      <c r="C1654" s="73"/>
      <c r="D1654" s="180" t="s">
        <v>577</v>
      </c>
      <c r="E1654" s="39">
        <v>43598</v>
      </c>
      <c r="F1654" s="179">
        <v>0.31180555555555556</v>
      </c>
      <c r="G1654" s="180">
        <v>2</v>
      </c>
      <c r="H1654" s="180" t="s">
        <v>578</v>
      </c>
      <c r="I1654" s="180"/>
      <c r="J1654" s="180"/>
      <c r="K1654" s="180"/>
      <c r="L1654" s="180"/>
      <c r="M1654" s="180"/>
      <c r="N1654" s="180"/>
      <c r="O1654" s="180"/>
      <c r="P1654" s="180"/>
    </row>
    <row r="1655" spans="1:16" x14ac:dyDescent="0.45">
      <c r="A1655" s="180" t="s">
        <v>81</v>
      </c>
      <c r="B1655" s="73">
        <v>1</v>
      </c>
      <c r="C1655" s="73"/>
      <c r="D1655" s="180" t="s">
        <v>577</v>
      </c>
      <c r="E1655" s="39">
        <v>43598</v>
      </c>
      <c r="F1655" s="179">
        <v>0.31180555555555556</v>
      </c>
      <c r="G1655" s="180">
        <v>2</v>
      </c>
      <c r="H1655" s="180" t="s">
        <v>578</v>
      </c>
      <c r="I1655" s="180"/>
      <c r="J1655" s="180"/>
      <c r="K1655" s="180"/>
      <c r="L1655" s="180"/>
      <c r="M1655" s="180"/>
      <c r="N1655" s="180"/>
      <c r="O1655" s="180"/>
      <c r="P1655" s="180"/>
    </row>
    <row r="1656" spans="1:16" x14ac:dyDescent="0.45">
      <c r="A1656" s="180" t="s">
        <v>81</v>
      </c>
      <c r="B1656" s="73">
        <v>2</v>
      </c>
      <c r="C1656" s="73">
        <v>2</v>
      </c>
      <c r="D1656" s="180" t="s">
        <v>579</v>
      </c>
      <c r="E1656" s="39">
        <v>43598</v>
      </c>
      <c r="F1656" s="179">
        <v>0.30486111111111108</v>
      </c>
      <c r="G1656" s="180">
        <v>1</v>
      </c>
      <c r="H1656" s="180"/>
      <c r="I1656" s="180"/>
      <c r="J1656" s="180"/>
      <c r="K1656" s="180"/>
      <c r="L1656" s="180"/>
      <c r="M1656" s="180"/>
      <c r="N1656" s="180"/>
      <c r="O1656" s="180"/>
      <c r="P1656" s="180"/>
    </row>
    <row r="1657" spans="1:16" x14ac:dyDescent="0.45">
      <c r="A1657" s="180" t="s">
        <v>81</v>
      </c>
      <c r="B1657" s="73">
        <v>1</v>
      </c>
      <c r="C1657" s="73"/>
      <c r="D1657" s="180" t="s">
        <v>580</v>
      </c>
      <c r="E1657" s="39">
        <v>43598</v>
      </c>
      <c r="F1657" s="179">
        <v>0.70833333333333337</v>
      </c>
      <c r="G1657" s="180">
        <v>1</v>
      </c>
      <c r="H1657" s="180"/>
      <c r="I1657" s="180"/>
      <c r="J1657" s="180"/>
      <c r="K1657" s="180"/>
      <c r="L1657" s="180"/>
      <c r="M1657" s="180"/>
      <c r="N1657" s="180"/>
      <c r="O1657" s="180"/>
      <c r="P1657" s="180"/>
    </row>
    <row r="1658" spans="1:16" x14ac:dyDescent="0.45">
      <c r="A1658" s="180" t="s">
        <v>81</v>
      </c>
      <c r="B1658" s="73">
        <v>1</v>
      </c>
      <c r="C1658" s="73"/>
      <c r="D1658" s="180" t="s">
        <v>565</v>
      </c>
      <c r="E1658" s="39">
        <v>43598</v>
      </c>
      <c r="F1658" s="179">
        <v>0.31805555555555554</v>
      </c>
      <c r="G1658" s="180">
        <v>1</v>
      </c>
      <c r="H1658" s="180"/>
      <c r="I1658" s="180"/>
      <c r="J1658" s="180"/>
      <c r="K1658" s="180"/>
      <c r="L1658" s="180"/>
      <c r="M1658" s="180"/>
      <c r="N1658" s="180"/>
      <c r="O1658" s="180"/>
      <c r="P1658" s="180"/>
    </row>
    <row r="1659" spans="1:16" x14ac:dyDescent="0.45">
      <c r="A1659" s="180" t="s">
        <v>81</v>
      </c>
      <c r="B1659" s="73">
        <v>1</v>
      </c>
      <c r="C1659" s="73"/>
      <c r="D1659" s="180" t="s">
        <v>425</v>
      </c>
      <c r="E1659" s="39">
        <v>43598</v>
      </c>
      <c r="F1659" s="179">
        <v>0.34375</v>
      </c>
      <c r="G1659" s="180">
        <v>6</v>
      </c>
      <c r="H1659" s="180" t="s">
        <v>451</v>
      </c>
      <c r="I1659" s="180"/>
      <c r="J1659" s="180"/>
      <c r="K1659" s="180"/>
      <c r="L1659" s="180"/>
      <c r="M1659" s="180"/>
      <c r="N1659" s="180"/>
      <c r="O1659" s="180"/>
      <c r="P1659" s="180"/>
    </row>
    <row r="1660" spans="1:16" x14ac:dyDescent="0.45">
      <c r="A1660" s="180" t="s">
        <v>81</v>
      </c>
      <c r="B1660" s="73">
        <v>1</v>
      </c>
      <c r="C1660" s="73">
        <v>1</v>
      </c>
      <c r="D1660" s="180" t="s">
        <v>296</v>
      </c>
      <c r="E1660" s="39">
        <v>43598</v>
      </c>
      <c r="F1660" s="179">
        <v>0.60833333333333328</v>
      </c>
      <c r="G1660" s="180">
        <v>1</v>
      </c>
      <c r="H1660" s="180"/>
      <c r="I1660" s="180" t="s">
        <v>581</v>
      </c>
      <c r="J1660" s="180"/>
      <c r="K1660" s="180"/>
      <c r="L1660" s="180"/>
      <c r="M1660" s="180"/>
      <c r="N1660" s="180"/>
      <c r="O1660" s="180"/>
      <c r="P1660" s="180"/>
    </row>
    <row r="1661" spans="1:16" x14ac:dyDescent="0.45">
      <c r="A1661" s="180" t="s">
        <v>81</v>
      </c>
      <c r="B1661" s="73">
        <v>1</v>
      </c>
      <c r="C1661" s="73"/>
      <c r="D1661" s="180" t="s">
        <v>271</v>
      </c>
      <c r="E1661" s="39">
        <v>43598</v>
      </c>
      <c r="F1661" s="179">
        <v>0.42708333333333331</v>
      </c>
      <c r="G1661" s="180">
        <v>3</v>
      </c>
      <c r="H1661" s="180" t="s">
        <v>404</v>
      </c>
      <c r="I1661" s="180"/>
      <c r="J1661" s="180"/>
      <c r="K1661" s="180"/>
      <c r="L1661" s="180"/>
      <c r="M1661" s="180"/>
      <c r="N1661" s="180"/>
      <c r="O1661" s="180"/>
      <c r="P1661" s="180"/>
    </row>
    <row r="1662" spans="1:16" x14ac:dyDescent="0.45">
      <c r="A1662" s="180" t="s">
        <v>81</v>
      </c>
      <c r="B1662" s="73">
        <v>2</v>
      </c>
      <c r="C1662" s="73">
        <v>2</v>
      </c>
      <c r="D1662" s="180" t="s">
        <v>473</v>
      </c>
      <c r="E1662" s="39">
        <v>43598</v>
      </c>
      <c r="F1662" s="179">
        <v>0.51041666666666663</v>
      </c>
      <c r="G1662" s="180">
        <v>6</v>
      </c>
      <c r="H1662" s="180" t="s">
        <v>474</v>
      </c>
      <c r="I1662" s="180"/>
      <c r="J1662" s="180"/>
      <c r="K1662" s="180"/>
      <c r="L1662" s="180"/>
      <c r="M1662" s="180"/>
      <c r="N1662" s="180"/>
      <c r="O1662" s="180"/>
      <c r="P1662" s="180"/>
    </row>
    <row r="1663" spans="1:16" x14ac:dyDescent="0.45">
      <c r="A1663" s="180" t="s">
        <v>81</v>
      </c>
      <c r="B1663" s="73">
        <v>1</v>
      </c>
      <c r="C1663" s="73"/>
      <c r="D1663" s="180" t="s">
        <v>452</v>
      </c>
      <c r="E1663" s="39">
        <v>43598</v>
      </c>
      <c r="F1663" s="179">
        <v>0.57986111111111105</v>
      </c>
      <c r="G1663" s="180">
        <v>1</v>
      </c>
      <c r="H1663" s="180" t="s">
        <v>582</v>
      </c>
      <c r="I1663" s="180"/>
      <c r="J1663" s="180"/>
      <c r="K1663" s="180"/>
      <c r="L1663" s="180"/>
      <c r="M1663" s="180"/>
      <c r="N1663" s="180"/>
      <c r="O1663" s="180"/>
      <c r="P1663" s="180"/>
    </row>
    <row r="1664" spans="1:16" x14ac:dyDescent="0.45">
      <c r="A1664" s="180" t="s">
        <v>81</v>
      </c>
      <c r="B1664" s="73">
        <v>2</v>
      </c>
      <c r="C1664" s="73">
        <v>2</v>
      </c>
      <c r="D1664" s="180" t="s">
        <v>452</v>
      </c>
      <c r="E1664" s="39">
        <v>43598</v>
      </c>
      <c r="F1664" s="179">
        <v>0.28472222222222221</v>
      </c>
      <c r="G1664" s="180">
        <v>2</v>
      </c>
      <c r="H1664" s="180"/>
      <c r="I1664" s="180"/>
      <c r="J1664" s="180"/>
      <c r="K1664" s="180"/>
      <c r="L1664" s="180"/>
      <c r="M1664" s="180"/>
      <c r="N1664" s="180"/>
      <c r="O1664" s="180"/>
      <c r="P1664" s="180"/>
    </row>
    <row r="1665" spans="1:16" x14ac:dyDescent="0.45">
      <c r="A1665" s="180" t="s">
        <v>81</v>
      </c>
      <c r="B1665" s="73">
        <v>1</v>
      </c>
      <c r="C1665" s="73"/>
      <c r="D1665" s="180" t="s">
        <v>583</v>
      </c>
      <c r="E1665" s="39">
        <v>43598</v>
      </c>
      <c r="F1665" s="179">
        <v>0.34027777777777773</v>
      </c>
      <c r="G1665" s="180">
        <v>1</v>
      </c>
      <c r="H1665" s="180"/>
      <c r="I1665" s="180"/>
      <c r="J1665" s="180"/>
      <c r="K1665" s="180"/>
      <c r="L1665" s="180"/>
      <c r="M1665" s="180"/>
      <c r="N1665" s="180"/>
      <c r="O1665" s="180"/>
      <c r="P1665" s="180"/>
    </row>
    <row r="1666" spans="1:16" x14ac:dyDescent="0.45">
      <c r="A1666" s="180" t="s">
        <v>81</v>
      </c>
      <c r="B1666" s="73">
        <v>1</v>
      </c>
      <c r="C1666" s="73"/>
      <c r="D1666" s="180" t="s">
        <v>584</v>
      </c>
      <c r="E1666" s="39">
        <v>43599</v>
      </c>
      <c r="F1666" s="179">
        <v>0.38680555555555557</v>
      </c>
      <c r="G1666" s="180">
        <v>1</v>
      </c>
      <c r="H1666" s="180"/>
      <c r="I1666" s="180"/>
      <c r="J1666" s="180"/>
      <c r="K1666" s="180"/>
      <c r="L1666" s="180"/>
      <c r="M1666" s="180"/>
      <c r="N1666" s="180"/>
      <c r="O1666" s="180"/>
      <c r="P1666" s="180"/>
    </row>
    <row r="1667" spans="1:16" x14ac:dyDescent="0.45">
      <c r="A1667" s="180" t="s">
        <v>81</v>
      </c>
      <c r="B1667" s="73">
        <v>2</v>
      </c>
      <c r="C1667" s="73"/>
      <c r="D1667" s="180" t="s">
        <v>585</v>
      </c>
      <c r="E1667" s="39">
        <v>43599</v>
      </c>
      <c r="F1667" s="179">
        <v>0.64166666666666672</v>
      </c>
      <c r="G1667" s="180">
        <v>1</v>
      </c>
      <c r="H1667" s="180"/>
      <c r="I1667" s="180"/>
      <c r="J1667" s="180"/>
      <c r="K1667" s="180"/>
      <c r="L1667" s="180"/>
      <c r="M1667" s="180"/>
      <c r="N1667" s="180"/>
      <c r="O1667" s="180"/>
      <c r="P1667" s="180"/>
    </row>
    <row r="1668" spans="1:16" x14ac:dyDescent="0.45">
      <c r="A1668" s="180" t="s">
        <v>81</v>
      </c>
      <c r="B1668" s="73">
        <v>1</v>
      </c>
      <c r="C1668" s="73"/>
      <c r="D1668" s="180" t="s">
        <v>579</v>
      </c>
      <c r="E1668" s="39">
        <v>43599</v>
      </c>
      <c r="F1668" s="179">
        <v>0.33611111111111108</v>
      </c>
      <c r="G1668" s="180">
        <v>1</v>
      </c>
      <c r="H1668" s="180"/>
      <c r="I1668" s="180"/>
      <c r="J1668" s="180"/>
      <c r="K1668" s="180"/>
      <c r="L1668" s="180"/>
      <c r="M1668" s="180"/>
      <c r="N1668" s="180"/>
      <c r="O1668" s="180"/>
      <c r="P1668" s="180"/>
    </row>
    <row r="1669" spans="1:16" x14ac:dyDescent="0.45">
      <c r="A1669" s="180" t="s">
        <v>81</v>
      </c>
      <c r="B1669" s="73">
        <v>1</v>
      </c>
      <c r="C1669" s="73"/>
      <c r="D1669" s="180" t="s">
        <v>586</v>
      </c>
      <c r="E1669" s="39">
        <v>43599</v>
      </c>
      <c r="F1669" s="179">
        <v>0.375</v>
      </c>
      <c r="G1669" s="180">
        <v>1</v>
      </c>
      <c r="H1669" s="180"/>
      <c r="I1669" s="180"/>
      <c r="J1669" s="180"/>
      <c r="K1669" s="180"/>
      <c r="L1669" s="180"/>
      <c r="M1669" s="180"/>
      <c r="N1669" s="180"/>
      <c r="O1669" s="180"/>
      <c r="P1669" s="180"/>
    </row>
    <row r="1670" spans="1:16" x14ac:dyDescent="0.45">
      <c r="A1670" s="180" t="s">
        <v>81</v>
      </c>
      <c r="B1670" s="73">
        <v>1</v>
      </c>
      <c r="C1670" s="73"/>
      <c r="D1670" s="180" t="s">
        <v>587</v>
      </c>
      <c r="E1670" s="39">
        <v>43599</v>
      </c>
      <c r="F1670" s="179">
        <v>0.57777777777777783</v>
      </c>
      <c r="G1670" s="180">
        <v>2</v>
      </c>
      <c r="H1670" s="180"/>
      <c r="I1670" s="180"/>
      <c r="J1670" s="180"/>
      <c r="K1670" s="180"/>
      <c r="L1670" s="180"/>
      <c r="M1670" s="180"/>
      <c r="N1670" s="180"/>
      <c r="O1670" s="180"/>
      <c r="P1670" s="180"/>
    </row>
    <row r="1671" spans="1:16" x14ac:dyDescent="0.45">
      <c r="A1671" s="180" t="s">
        <v>81</v>
      </c>
      <c r="B1671" s="73">
        <v>1</v>
      </c>
      <c r="C1671" s="73"/>
      <c r="D1671" s="180" t="s">
        <v>565</v>
      </c>
      <c r="E1671" s="39">
        <v>43599</v>
      </c>
      <c r="F1671" s="179">
        <v>0.4152777777777778</v>
      </c>
      <c r="G1671" s="180">
        <v>1</v>
      </c>
      <c r="H1671" s="180"/>
      <c r="I1671" s="180"/>
      <c r="J1671" s="180"/>
      <c r="K1671" s="180"/>
      <c r="L1671" s="180"/>
      <c r="M1671" s="180"/>
      <c r="N1671" s="180"/>
      <c r="O1671" s="180"/>
      <c r="P1671" s="180"/>
    </row>
    <row r="1672" spans="1:16" x14ac:dyDescent="0.45">
      <c r="A1672" s="180" t="s">
        <v>81</v>
      </c>
      <c r="B1672" s="73">
        <v>1</v>
      </c>
      <c r="C1672" s="73"/>
      <c r="D1672" s="180" t="s">
        <v>376</v>
      </c>
      <c r="E1672" s="39">
        <v>43599</v>
      </c>
      <c r="F1672" s="179">
        <v>0.33194444444444443</v>
      </c>
      <c r="G1672" s="180">
        <v>1</v>
      </c>
      <c r="H1672" s="180"/>
      <c r="I1672" s="180"/>
      <c r="J1672" s="180"/>
      <c r="K1672" s="180"/>
      <c r="L1672" s="180"/>
      <c r="M1672" s="180"/>
      <c r="N1672" s="180"/>
      <c r="O1672" s="180"/>
      <c r="P1672" s="180"/>
    </row>
    <row r="1673" spans="1:16" x14ac:dyDescent="0.45">
      <c r="A1673" s="180" t="s">
        <v>81</v>
      </c>
      <c r="B1673" s="73">
        <v>1</v>
      </c>
      <c r="C1673" s="73"/>
      <c r="D1673" s="180" t="s">
        <v>425</v>
      </c>
      <c r="E1673" s="39">
        <v>43599</v>
      </c>
      <c r="F1673" s="179">
        <v>0.42638888888888887</v>
      </c>
      <c r="G1673" s="180">
        <v>2</v>
      </c>
      <c r="H1673" s="180"/>
      <c r="I1673" s="180"/>
      <c r="J1673" s="180"/>
      <c r="K1673" s="180"/>
      <c r="L1673" s="180"/>
      <c r="M1673" s="180"/>
      <c r="N1673" s="180"/>
      <c r="O1673" s="180"/>
      <c r="P1673" s="180"/>
    </row>
    <row r="1674" spans="1:16" x14ac:dyDescent="0.45">
      <c r="A1674" s="180" t="s">
        <v>81</v>
      </c>
      <c r="B1674" s="73">
        <v>2</v>
      </c>
      <c r="C1674" s="73">
        <v>2</v>
      </c>
      <c r="D1674" s="180" t="s">
        <v>296</v>
      </c>
      <c r="E1674" s="39">
        <v>43599</v>
      </c>
      <c r="F1674" s="179">
        <v>0.3743055555555555</v>
      </c>
      <c r="G1674" s="180">
        <v>2</v>
      </c>
      <c r="H1674" s="180"/>
      <c r="I1674" s="180"/>
      <c r="J1674" s="180"/>
      <c r="K1674" s="180"/>
      <c r="L1674" s="180"/>
      <c r="M1674" s="180"/>
      <c r="N1674" s="180"/>
      <c r="O1674" s="180"/>
      <c r="P1674" s="180"/>
    </row>
    <row r="1675" spans="1:16" x14ac:dyDescent="0.45">
      <c r="A1675" s="180" t="s">
        <v>81</v>
      </c>
      <c r="B1675" s="73">
        <v>1</v>
      </c>
      <c r="C1675" s="73">
        <v>1</v>
      </c>
      <c r="D1675" s="180" t="s">
        <v>271</v>
      </c>
      <c r="E1675" s="39">
        <v>43599</v>
      </c>
      <c r="F1675" s="179">
        <v>0.50347222222222221</v>
      </c>
      <c r="G1675" s="180">
        <v>1</v>
      </c>
      <c r="H1675" s="180"/>
      <c r="I1675" s="180"/>
      <c r="J1675" s="180"/>
      <c r="K1675" s="180"/>
      <c r="L1675" s="180"/>
      <c r="M1675" s="180"/>
      <c r="N1675" s="180"/>
      <c r="O1675" s="180"/>
      <c r="P1675" s="180"/>
    </row>
    <row r="1676" spans="1:16" x14ac:dyDescent="0.45">
      <c r="A1676" s="180" t="s">
        <v>81</v>
      </c>
      <c r="B1676" s="73">
        <v>1</v>
      </c>
      <c r="C1676" s="73"/>
      <c r="D1676" s="180" t="s">
        <v>370</v>
      </c>
      <c r="E1676" s="39">
        <v>43600</v>
      </c>
      <c r="F1676" s="179">
        <v>0.42708333333333331</v>
      </c>
      <c r="G1676" s="180">
        <v>1</v>
      </c>
      <c r="H1676" s="180"/>
      <c r="I1676" s="180"/>
      <c r="J1676" s="180"/>
      <c r="K1676" s="180"/>
      <c r="L1676" s="180"/>
      <c r="M1676" s="180"/>
      <c r="N1676" s="180"/>
      <c r="O1676" s="180"/>
      <c r="P1676" s="180"/>
    </row>
    <row r="1677" spans="1:16" x14ac:dyDescent="0.45">
      <c r="A1677" s="180" t="s">
        <v>81</v>
      </c>
      <c r="B1677" s="73">
        <v>4</v>
      </c>
      <c r="C1677" s="73">
        <v>4</v>
      </c>
      <c r="D1677" s="180" t="s">
        <v>588</v>
      </c>
      <c r="E1677" s="39">
        <v>43600</v>
      </c>
      <c r="F1677" s="179">
        <v>0.43611111111111112</v>
      </c>
      <c r="G1677" s="180">
        <v>1</v>
      </c>
      <c r="H1677" s="180"/>
      <c r="I1677" s="180"/>
      <c r="J1677" s="180"/>
      <c r="K1677" s="180"/>
      <c r="L1677" s="180"/>
      <c r="M1677" s="180"/>
      <c r="N1677" s="180"/>
      <c r="O1677" s="180"/>
      <c r="P1677" s="180"/>
    </row>
    <row r="1678" spans="1:16" x14ac:dyDescent="0.45">
      <c r="A1678" s="180" t="s">
        <v>81</v>
      </c>
      <c r="B1678" s="73">
        <v>1</v>
      </c>
      <c r="C1678" s="73">
        <v>1</v>
      </c>
      <c r="D1678" s="180" t="s">
        <v>299</v>
      </c>
      <c r="E1678" s="39">
        <v>43600</v>
      </c>
      <c r="F1678" s="179">
        <v>0.25</v>
      </c>
      <c r="G1678" s="180">
        <v>1</v>
      </c>
      <c r="H1678" s="180" t="s">
        <v>589</v>
      </c>
      <c r="I1678" s="180"/>
      <c r="J1678" s="180"/>
      <c r="K1678" s="180"/>
      <c r="L1678" s="180"/>
      <c r="M1678" s="180"/>
      <c r="N1678" s="180"/>
      <c r="O1678" s="180"/>
      <c r="P1678" s="180"/>
    </row>
    <row r="1679" spans="1:16" x14ac:dyDescent="0.45">
      <c r="A1679" s="180" t="s">
        <v>81</v>
      </c>
      <c r="B1679" s="73">
        <v>1</v>
      </c>
      <c r="C1679" s="73">
        <v>1</v>
      </c>
      <c r="D1679" s="180" t="s">
        <v>455</v>
      </c>
      <c r="E1679" s="39">
        <v>43600</v>
      </c>
      <c r="F1679" s="179">
        <v>0.41666666666666669</v>
      </c>
      <c r="G1679" s="180">
        <v>4</v>
      </c>
      <c r="H1679" s="180"/>
      <c r="I1679" s="180"/>
      <c r="J1679" s="180"/>
      <c r="K1679" s="180"/>
      <c r="L1679" s="180"/>
      <c r="M1679" s="180"/>
      <c r="N1679" s="180"/>
      <c r="O1679" s="180"/>
      <c r="P1679" s="180"/>
    </row>
    <row r="1680" spans="1:16" x14ac:dyDescent="0.45">
      <c r="A1680" s="180" t="s">
        <v>81</v>
      </c>
      <c r="B1680" s="73">
        <v>1</v>
      </c>
      <c r="C1680" s="73">
        <v>1</v>
      </c>
      <c r="D1680" s="180" t="s">
        <v>271</v>
      </c>
      <c r="E1680" s="39">
        <v>43601</v>
      </c>
      <c r="F1680" s="179">
        <v>0.54027777777777775</v>
      </c>
      <c r="G1680" s="180">
        <v>1</v>
      </c>
      <c r="H1680" s="180"/>
      <c r="I1680" s="180"/>
      <c r="J1680" s="180"/>
      <c r="K1680" s="180"/>
      <c r="L1680" s="180"/>
      <c r="M1680" s="180"/>
      <c r="N1680" s="180"/>
      <c r="O1680" s="180"/>
      <c r="P1680" s="180"/>
    </row>
    <row r="1681" spans="1:16" x14ac:dyDescent="0.45">
      <c r="A1681" s="180" t="s">
        <v>81</v>
      </c>
      <c r="B1681" s="73">
        <v>2</v>
      </c>
      <c r="C1681" s="73"/>
      <c r="D1681" s="180" t="s">
        <v>590</v>
      </c>
      <c r="E1681" s="39">
        <v>43601</v>
      </c>
      <c r="F1681" s="179">
        <v>0.78541666666666676</v>
      </c>
      <c r="G1681" s="180">
        <v>2</v>
      </c>
      <c r="H1681" s="180"/>
      <c r="I1681" s="180"/>
      <c r="J1681" s="180"/>
      <c r="K1681" s="180"/>
      <c r="L1681" s="180"/>
      <c r="M1681" s="180"/>
      <c r="N1681" s="180"/>
      <c r="O1681" s="180"/>
      <c r="P1681" s="180"/>
    </row>
    <row r="1682" spans="1:16" x14ac:dyDescent="0.45">
      <c r="A1682" s="180" t="s">
        <v>81</v>
      </c>
      <c r="B1682" s="73">
        <v>1</v>
      </c>
      <c r="C1682" s="73">
        <v>1</v>
      </c>
      <c r="D1682" s="180" t="s">
        <v>299</v>
      </c>
      <c r="E1682" s="39">
        <v>43601</v>
      </c>
      <c r="F1682" s="179">
        <v>0.40277777777777773</v>
      </c>
      <c r="G1682" s="180">
        <v>1</v>
      </c>
      <c r="H1682" s="180"/>
      <c r="I1682" s="180"/>
      <c r="J1682" s="180"/>
      <c r="K1682" s="180"/>
      <c r="L1682" s="180"/>
      <c r="M1682" s="180"/>
      <c r="N1682" s="180"/>
      <c r="O1682" s="180"/>
      <c r="P1682" s="180"/>
    </row>
    <row r="1683" spans="1:16" x14ac:dyDescent="0.45">
      <c r="A1683" s="180" t="s">
        <v>81</v>
      </c>
      <c r="B1683" s="73">
        <v>2</v>
      </c>
      <c r="C1683" s="73">
        <v>2</v>
      </c>
      <c r="D1683" s="180" t="s">
        <v>591</v>
      </c>
      <c r="E1683" s="39">
        <v>43603</v>
      </c>
      <c r="F1683" s="179">
        <v>0.46249999999999997</v>
      </c>
      <c r="G1683" s="180">
        <v>1</v>
      </c>
      <c r="H1683" s="180"/>
      <c r="I1683" s="180"/>
      <c r="J1683" s="180"/>
      <c r="K1683" s="180"/>
      <c r="L1683" s="180"/>
      <c r="M1683" s="180"/>
      <c r="N1683" s="180"/>
      <c r="O1683" s="180"/>
      <c r="P1683" s="180"/>
    </row>
    <row r="1684" spans="1:16" x14ac:dyDescent="0.45">
      <c r="A1684" s="180" t="s">
        <v>81</v>
      </c>
      <c r="B1684" s="73">
        <v>1</v>
      </c>
      <c r="C1684" s="73">
        <v>1</v>
      </c>
      <c r="D1684" s="180" t="s">
        <v>332</v>
      </c>
      <c r="E1684" s="39">
        <v>43603</v>
      </c>
      <c r="F1684" s="179">
        <v>0.70833333333333337</v>
      </c>
      <c r="G1684" s="180">
        <v>4</v>
      </c>
      <c r="H1684" s="180" t="s">
        <v>272</v>
      </c>
      <c r="I1684" s="180"/>
      <c r="J1684" s="180"/>
      <c r="K1684" s="180"/>
      <c r="L1684" s="180"/>
      <c r="M1684" s="180"/>
      <c r="N1684" s="180"/>
      <c r="O1684" s="180"/>
      <c r="P1684" s="180"/>
    </row>
    <row r="1685" spans="1:16" x14ac:dyDescent="0.45">
      <c r="A1685" s="180" t="s">
        <v>81</v>
      </c>
      <c r="B1685" s="73">
        <v>1</v>
      </c>
      <c r="C1685" s="73"/>
      <c r="D1685" s="180" t="s">
        <v>332</v>
      </c>
      <c r="E1685" s="39">
        <v>43603</v>
      </c>
      <c r="F1685" s="179">
        <v>0.70833333333333337</v>
      </c>
      <c r="G1685" s="180">
        <v>4</v>
      </c>
      <c r="H1685" s="180" t="s">
        <v>272</v>
      </c>
      <c r="I1685" s="180"/>
      <c r="J1685" s="180"/>
      <c r="K1685" s="180"/>
      <c r="L1685" s="180"/>
      <c r="M1685" s="180"/>
      <c r="N1685" s="180"/>
      <c r="O1685" s="180"/>
      <c r="P1685" s="180"/>
    </row>
    <row r="1686" spans="1:16" x14ac:dyDescent="0.45">
      <c r="A1686" s="180" t="s">
        <v>81</v>
      </c>
      <c r="B1686" s="73">
        <v>2</v>
      </c>
      <c r="C1686" s="73"/>
      <c r="D1686" s="180" t="s">
        <v>592</v>
      </c>
      <c r="E1686" s="39">
        <v>43603</v>
      </c>
      <c r="F1686" s="179">
        <v>0.29097222222222224</v>
      </c>
      <c r="G1686" s="180">
        <v>6</v>
      </c>
      <c r="H1686" s="180"/>
      <c r="I1686" s="180"/>
      <c r="J1686" s="180"/>
      <c r="K1686" s="180"/>
      <c r="L1686" s="180"/>
      <c r="M1686" s="180"/>
      <c r="N1686" s="180"/>
      <c r="O1686" s="180"/>
      <c r="P1686" s="180"/>
    </row>
    <row r="1687" spans="1:16" x14ac:dyDescent="0.45">
      <c r="A1687" s="180" t="s">
        <v>81</v>
      </c>
      <c r="B1687" s="73">
        <v>3</v>
      </c>
      <c r="C1687" s="73"/>
      <c r="D1687" s="180" t="s">
        <v>592</v>
      </c>
      <c r="E1687" s="39">
        <v>43603</v>
      </c>
      <c r="F1687" s="179">
        <v>0.29166666666666669</v>
      </c>
      <c r="G1687" s="180">
        <v>6</v>
      </c>
      <c r="H1687" s="180" t="s">
        <v>593</v>
      </c>
      <c r="I1687" s="180"/>
      <c r="J1687" s="180"/>
      <c r="K1687" s="180"/>
      <c r="L1687" s="180"/>
      <c r="M1687" s="180"/>
      <c r="N1687" s="180"/>
      <c r="O1687" s="180"/>
      <c r="P1687" s="180"/>
    </row>
    <row r="1688" spans="1:16" x14ac:dyDescent="0.45">
      <c r="A1688" s="180" t="s">
        <v>81</v>
      </c>
      <c r="B1688" s="73">
        <v>6</v>
      </c>
      <c r="C1688" s="73">
        <v>6</v>
      </c>
      <c r="D1688" s="180" t="s">
        <v>592</v>
      </c>
      <c r="E1688" s="39">
        <v>43603</v>
      </c>
      <c r="F1688" s="179">
        <v>0.29305555555555557</v>
      </c>
      <c r="G1688" s="180">
        <v>6</v>
      </c>
      <c r="H1688" s="180"/>
      <c r="I1688" s="180"/>
      <c r="J1688" s="180"/>
      <c r="K1688" s="180"/>
      <c r="L1688" s="180"/>
      <c r="M1688" s="180"/>
      <c r="N1688" s="180"/>
      <c r="O1688" s="180"/>
      <c r="P1688" s="180"/>
    </row>
    <row r="1689" spans="1:16" x14ac:dyDescent="0.45">
      <c r="A1689" s="180" t="s">
        <v>81</v>
      </c>
      <c r="B1689" s="73">
        <v>1</v>
      </c>
      <c r="C1689" s="73">
        <v>1</v>
      </c>
      <c r="D1689" s="180" t="s">
        <v>296</v>
      </c>
      <c r="E1689" s="39">
        <v>43603</v>
      </c>
      <c r="F1689" s="179">
        <v>0.77847222222222223</v>
      </c>
      <c r="G1689" s="180">
        <v>1</v>
      </c>
      <c r="H1689" s="180"/>
      <c r="I1689" s="180"/>
      <c r="J1689" s="180"/>
      <c r="K1689" s="180"/>
      <c r="L1689" s="180"/>
      <c r="M1689" s="180"/>
      <c r="N1689" s="180"/>
      <c r="O1689" s="180"/>
      <c r="P1689" s="180"/>
    </row>
    <row r="1690" spans="1:16" x14ac:dyDescent="0.45">
      <c r="A1690" s="180" t="s">
        <v>81</v>
      </c>
      <c r="B1690" s="73">
        <v>1</v>
      </c>
      <c r="C1690" s="73">
        <v>1</v>
      </c>
      <c r="D1690" s="180" t="s">
        <v>452</v>
      </c>
      <c r="E1690" s="39">
        <v>43604</v>
      </c>
      <c r="F1690" s="179">
        <v>0.80069444444444438</v>
      </c>
      <c r="G1690" s="180">
        <v>1</v>
      </c>
      <c r="H1690" s="180"/>
      <c r="I1690" s="180"/>
      <c r="J1690" s="180"/>
      <c r="K1690" s="180"/>
      <c r="L1690" s="180"/>
      <c r="M1690" s="180"/>
      <c r="N1690" s="180"/>
      <c r="O1690" s="180"/>
      <c r="P1690" s="180"/>
    </row>
    <row r="1691" spans="1:16" x14ac:dyDescent="0.45">
      <c r="A1691" s="180" t="s">
        <v>81</v>
      </c>
      <c r="B1691" s="73">
        <v>1</v>
      </c>
      <c r="C1691" s="73"/>
      <c r="D1691" s="180" t="s">
        <v>594</v>
      </c>
      <c r="E1691" s="39">
        <v>43605</v>
      </c>
      <c r="F1691" s="179">
        <v>0.72569444444444453</v>
      </c>
      <c r="G1691" s="180">
        <v>1</v>
      </c>
      <c r="H1691" s="180" t="s">
        <v>595</v>
      </c>
      <c r="I1691" s="180" t="s">
        <v>596</v>
      </c>
      <c r="J1691" s="180"/>
      <c r="K1691" s="180"/>
      <c r="L1691" s="180"/>
      <c r="M1691" s="180"/>
      <c r="N1691" s="180"/>
      <c r="O1691" s="180"/>
      <c r="P1691" s="180"/>
    </row>
    <row r="1692" spans="1:16" x14ac:dyDescent="0.45">
      <c r="A1692" s="180" t="s">
        <v>81</v>
      </c>
      <c r="B1692" s="73">
        <v>3</v>
      </c>
      <c r="C1692" s="73">
        <v>3</v>
      </c>
      <c r="D1692" s="180" t="s">
        <v>565</v>
      </c>
      <c r="E1692" s="39">
        <v>43605</v>
      </c>
      <c r="F1692" s="179">
        <v>0.99236111111111114</v>
      </c>
      <c r="G1692" s="180">
        <v>1</v>
      </c>
      <c r="H1692" s="180"/>
      <c r="I1692" s="180" t="s">
        <v>596</v>
      </c>
      <c r="J1692" s="180"/>
      <c r="K1692" s="180"/>
      <c r="L1692" s="180"/>
      <c r="M1692" s="180"/>
      <c r="N1692" s="180"/>
      <c r="O1692" s="180"/>
      <c r="P1692" s="180"/>
    </row>
    <row r="1693" spans="1:16" x14ac:dyDescent="0.45">
      <c r="A1693" s="180" t="s">
        <v>81</v>
      </c>
      <c r="B1693" s="73">
        <v>1</v>
      </c>
      <c r="C1693" s="73">
        <v>1</v>
      </c>
      <c r="D1693" s="180" t="s">
        <v>452</v>
      </c>
      <c r="E1693" s="39">
        <v>43606</v>
      </c>
      <c r="F1693" s="179">
        <v>0.31041666666666667</v>
      </c>
      <c r="G1693" s="180">
        <v>1</v>
      </c>
      <c r="H1693" s="180"/>
      <c r="I1693" s="180"/>
      <c r="J1693" s="180"/>
      <c r="K1693" s="180"/>
      <c r="L1693" s="180"/>
      <c r="M1693" s="180"/>
      <c r="N1693" s="180"/>
      <c r="O1693" s="180"/>
      <c r="P1693" s="180"/>
    </row>
    <row r="1694" spans="1:16" x14ac:dyDescent="0.45">
      <c r="A1694" s="180" t="s">
        <v>81</v>
      </c>
      <c r="B1694" s="73">
        <v>1</v>
      </c>
      <c r="C1694" s="73">
        <v>1</v>
      </c>
      <c r="D1694" s="180" t="s">
        <v>271</v>
      </c>
      <c r="E1694" s="39">
        <v>43608</v>
      </c>
      <c r="F1694" s="179">
        <v>0.50902777777777775</v>
      </c>
      <c r="G1694" s="180">
        <v>1</v>
      </c>
      <c r="H1694" s="180" t="s">
        <v>458</v>
      </c>
      <c r="I1694" s="180"/>
      <c r="J1694" s="180"/>
      <c r="K1694" s="180"/>
      <c r="L1694" s="180"/>
      <c r="M1694" s="180"/>
      <c r="N1694" s="180"/>
      <c r="O1694" s="180"/>
      <c r="P1694" s="180"/>
    </row>
    <row r="1695" spans="1:16" x14ac:dyDescent="0.45">
      <c r="A1695" s="180" t="s">
        <v>81</v>
      </c>
      <c r="B1695" s="73">
        <v>1</v>
      </c>
      <c r="C1695" s="73">
        <v>1</v>
      </c>
      <c r="D1695" s="180" t="s">
        <v>455</v>
      </c>
      <c r="E1695" s="39">
        <v>43612</v>
      </c>
      <c r="F1695" s="179">
        <v>0.39583333333333331</v>
      </c>
      <c r="G1695" s="180">
        <v>4</v>
      </c>
      <c r="H1695" s="180"/>
      <c r="I1695" s="180"/>
      <c r="J1695" s="180"/>
      <c r="K1695" s="180"/>
      <c r="L1695" s="180"/>
      <c r="M1695" s="180"/>
      <c r="N1695" s="180"/>
      <c r="O1695" s="180"/>
      <c r="P1695" s="180"/>
    </row>
    <row r="1696" spans="1:16" x14ac:dyDescent="0.45">
      <c r="A1696" s="180" t="s">
        <v>81</v>
      </c>
      <c r="B1696" s="73">
        <v>2</v>
      </c>
      <c r="C1696" s="73">
        <v>2</v>
      </c>
      <c r="D1696" s="180" t="s">
        <v>597</v>
      </c>
      <c r="E1696" s="39">
        <v>43615</v>
      </c>
      <c r="F1696" s="179">
        <v>0.45833333333333331</v>
      </c>
      <c r="G1696" s="180">
        <v>2</v>
      </c>
      <c r="H1696" s="180"/>
      <c r="I1696" s="180"/>
      <c r="J1696" s="180"/>
      <c r="K1696" s="180"/>
      <c r="L1696" s="180"/>
      <c r="M1696" s="180"/>
      <c r="N1696" s="180"/>
      <c r="O1696" s="180"/>
      <c r="P1696" s="180"/>
    </row>
    <row r="1697" spans="1:16" x14ac:dyDescent="0.45">
      <c r="A1697" s="1" t="s">
        <v>273</v>
      </c>
      <c r="B1697" s="73"/>
      <c r="C1697" s="73">
        <f>SUM(C1588:C1696)</f>
        <v>73</v>
      </c>
      <c r="D1697" s="180"/>
      <c r="E1697" s="39"/>
      <c r="F1697" s="179"/>
      <c r="G1697" s="180"/>
      <c r="H1697" s="180"/>
      <c r="I1697" s="180"/>
      <c r="J1697" s="180"/>
      <c r="K1697" s="180"/>
      <c r="L1697" s="180"/>
      <c r="M1697" s="180"/>
      <c r="N1697" s="180"/>
      <c r="O1697" s="180"/>
      <c r="P1697" s="180"/>
    </row>
    <row r="1698" spans="1:16" x14ac:dyDescent="0.45">
      <c r="A1698" s="180"/>
      <c r="B1698" s="73"/>
      <c r="C1698" s="73"/>
      <c r="D1698" s="180"/>
      <c r="E1698" s="39"/>
      <c r="F1698" s="179"/>
      <c r="G1698" s="180"/>
      <c r="H1698" s="180"/>
      <c r="I1698" s="180"/>
      <c r="J1698" s="180"/>
      <c r="K1698" s="180"/>
      <c r="L1698" s="180"/>
      <c r="M1698" s="180"/>
      <c r="N1698" s="180"/>
      <c r="O1698" s="180"/>
      <c r="P1698" s="180"/>
    </row>
    <row r="1699" spans="1:16" x14ac:dyDescent="0.45">
      <c r="A1699" s="180"/>
      <c r="B1699" s="180"/>
      <c r="C1699" s="180"/>
      <c r="D1699" s="180"/>
      <c r="E1699" s="180"/>
      <c r="F1699" s="180"/>
      <c r="G1699" s="180"/>
      <c r="H1699" s="180"/>
      <c r="I1699" s="180"/>
      <c r="J1699" s="180"/>
      <c r="K1699" s="180"/>
      <c r="L1699" s="180"/>
      <c r="M1699" s="180"/>
      <c r="N1699" s="180"/>
      <c r="O1699" s="180"/>
      <c r="P1699" s="180"/>
    </row>
    <row r="1700" spans="1:16" x14ac:dyDescent="0.45">
      <c r="A1700" s="1" t="s">
        <v>598</v>
      </c>
      <c r="B1700" s="180"/>
      <c r="C1700" s="180"/>
      <c r="D1700" s="180"/>
      <c r="E1700" s="180"/>
      <c r="F1700" s="180"/>
      <c r="G1700" s="180"/>
      <c r="H1700" s="180"/>
      <c r="I1700" s="180"/>
      <c r="J1700" s="180"/>
      <c r="K1700" s="180"/>
      <c r="L1700" s="180"/>
      <c r="M1700" s="180"/>
      <c r="N1700" s="180"/>
      <c r="O1700" s="180"/>
      <c r="P1700" s="180"/>
    </row>
    <row r="1701" spans="1:16" x14ac:dyDescent="0.45">
      <c r="A1701" s="180"/>
      <c r="B1701" s="180"/>
      <c r="C1701" s="180"/>
      <c r="D1701" s="180"/>
      <c r="E1701" s="180"/>
      <c r="F1701" s="180"/>
      <c r="G1701" s="180"/>
      <c r="H1701" s="180"/>
      <c r="I1701" s="180"/>
      <c r="J1701" s="180"/>
      <c r="K1701" s="180"/>
      <c r="L1701" s="180"/>
      <c r="M1701" s="180"/>
      <c r="N1701" s="180"/>
      <c r="O1701" s="180"/>
      <c r="P1701" s="180"/>
    </row>
    <row r="1702" spans="1:16" x14ac:dyDescent="0.45">
      <c r="A1702" s="1" t="s">
        <v>262</v>
      </c>
      <c r="B1702" s="27" t="s">
        <v>263</v>
      </c>
      <c r="C1702" s="27" t="s">
        <v>264</v>
      </c>
      <c r="D1702" s="1" t="s">
        <v>265</v>
      </c>
      <c r="E1702" s="1" t="s">
        <v>266</v>
      </c>
      <c r="F1702" s="1" t="s">
        <v>267</v>
      </c>
      <c r="G1702" s="1" t="s">
        <v>599</v>
      </c>
      <c r="H1702" s="1" t="s">
        <v>269</v>
      </c>
      <c r="I1702" s="1" t="s">
        <v>270</v>
      </c>
      <c r="J1702" s="180"/>
      <c r="K1702" s="180"/>
      <c r="L1702" s="180"/>
      <c r="M1702" s="180"/>
      <c r="N1702" s="180"/>
      <c r="O1702" s="180"/>
      <c r="P1702" s="180"/>
    </row>
    <row r="1703" spans="1:16" x14ac:dyDescent="0.45">
      <c r="A1703" s="180" t="s">
        <v>43</v>
      </c>
      <c r="B1703" s="73">
        <v>1</v>
      </c>
      <c r="C1703" s="73">
        <v>1</v>
      </c>
      <c r="D1703" s="180" t="s">
        <v>600</v>
      </c>
      <c r="E1703" s="39">
        <v>43590</v>
      </c>
      <c r="F1703" s="179">
        <v>0.51388888888888895</v>
      </c>
      <c r="G1703" s="180">
        <v>1</v>
      </c>
      <c r="H1703" s="180"/>
      <c r="I1703" s="180"/>
      <c r="J1703" s="180"/>
      <c r="K1703" s="180"/>
      <c r="L1703" s="180"/>
      <c r="M1703" s="180"/>
      <c r="N1703" s="180"/>
      <c r="O1703" s="180"/>
      <c r="P1703" s="180"/>
    </row>
    <row r="1704" spans="1:16" x14ac:dyDescent="0.45">
      <c r="A1704" s="180" t="s">
        <v>43</v>
      </c>
      <c r="B1704" s="73">
        <v>2</v>
      </c>
      <c r="C1704" s="73">
        <v>2</v>
      </c>
      <c r="D1704" s="180" t="s">
        <v>600</v>
      </c>
      <c r="E1704" s="39">
        <v>43594</v>
      </c>
      <c r="F1704" s="179">
        <v>0.37222222222222223</v>
      </c>
      <c r="G1704" s="180">
        <v>24</v>
      </c>
      <c r="H1704" s="180"/>
      <c r="I1704" s="180" t="s">
        <v>601</v>
      </c>
      <c r="J1704" s="180"/>
      <c r="K1704" s="180"/>
      <c r="L1704" s="180"/>
      <c r="M1704" s="180"/>
      <c r="N1704" s="180"/>
      <c r="O1704" s="180"/>
      <c r="P1704" s="180"/>
    </row>
    <row r="1705" spans="1:16" x14ac:dyDescent="0.45">
      <c r="A1705" s="180" t="s">
        <v>43</v>
      </c>
      <c r="B1705" s="73">
        <v>2</v>
      </c>
      <c r="C1705" s="73"/>
      <c r="D1705" s="180" t="s">
        <v>600</v>
      </c>
      <c r="E1705" s="39">
        <v>43594</v>
      </c>
      <c r="F1705" s="179">
        <v>0.37222222222222223</v>
      </c>
      <c r="G1705" s="180">
        <v>24</v>
      </c>
      <c r="H1705" s="180"/>
      <c r="I1705" s="180" t="s">
        <v>601</v>
      </c>
      <c r="J1705" s="180"/>
      <c r="K1705" s="180"/>
      <c r="L1705" s="180"/>
      <c r="M1705" s="180"/>
      <c r="N1705" s="180"/>
      <c r="O1705" s="180"/>
      <c r="P1705" s="180"/>
    </row>
    <row r="1706" spans="1:16" x14ac:dyDescent="0.45">
      <c r="A1706" s="180" t="s">
        <v>43</v>
      </c>
      <c r="B1706" s="73">
        <v>2</v>
      </c>
      <c r="C1706" s="73"/>
      <c r="D1706" s="180" t="s">
        <v>600</v>
      </c>
      <c r="E1706" s="39">
        <v>43594</v>
      </c>
      <c r="F1706" s="179">
        <v>0.37222222222222223</v>
      </c>
      <c r="G1706" s="180">
        <v>24</v>
      </c>
      <c r="H1706" s="180"/>
      <c r="I1706" s="180" t="s">
        <v>601</v>
      </c>
      <c r="J1706" s="180"/>
      <c r="K1706" s="180"/>
      <c r="L1706" s="180"/>
      <c r="M1706" s="180"/>
      <c r="N1706" s="180"/>
      <c r="O1706" s="180"/>
      <c r="P1706" s="180"/>
    </row>
    <row r="1707" spans="1:16" x14ac:dyDescent="0.45">
      <c r="A1707" s="180" t="s">
        <v>43</v>
      </c>
      <c r="B1707" s="73">
        <v>2</v>
      </c>
      <c r="C1707" s="73"/>
      <c r="D1707" s="180" t="s">
        <v>600</v>
      </c>
      <c r="E1707" s="39">
        <v>43594</v>
      </c>
      <c r="F1707" s="179">
        <v>0.37222222222222223</v>
      </c>
      <c r="G1707" s="180">
        <v>24</v>
      </c>
      <c r="H1707" s="180"/>
      <c r="I1707" s="180" t="s">
        <v>601</v>
      </c>
      <c r="J1707" s="180"/>
      <c r="K1707" s="180"/>
      <c r="L1707" s="180"/>
      <c r="M1707" s="180"/>
      <c r="N1707" s="180"/>
      <c r="O1707" s="180"/>
      <c r="P1707" s="180"/>
    </row>
    <row r="1708" spans="1:16" x14ac:dyDescent="0.45">
      <c r="A1708" s="180" t="s">
        <v>43</v>
      </c>
      <c r="B1708" s="73">
        <v>2</v>
      </c>
      <c r="C1708" s="73"/>
      <c r="D1708" s="180" t="s">
        <v>600</v>
      </c>
      <c r="E1708" s="39">
        <v>43594</v>
      </c>
      <c r="F1708" s="179">
        <v>0.37222222222222223</v>
      </c>
      <c r="G1708" s="180">
        <v>24</v>
      </c>
      <c r="H1708" s="180"/>
      <c r="I1708" s="180" t="s">
        <v>601</v>
      </c>
      <c r="J1708" s="180"/>
      <c r="K1708" s="180"/>
      <c r="L1708" s="180"/>
      <c r="M1708" s="180"/>
      <c r="N1708" s="180"/>
      <c r="O1708" s="180"/>
      <c r="P1708" s="180"/>
    </row>
    <row r="1709" spans="1:16" x14ac:dyDescent="0.45">
      <c r="A1709" s="180" t="s">
        <v>43</v>
      </c>
      <c r="B1709" s="73">
        <v>2</v>
      </c>
      <c r="C1709" s="73"/>
      <c r="D1709" s="180" t="s">
        <v>600</v>
      </c>
      <c r="E1709" s="39">
        <v>43594</v>
      </c>
      <c r="F1709" s="179">
        <v>0.37222222222222223</v>
      </c>
      <c r="G1709" s="180">
        <v>24</v>
      </c>
      <c r="H1709" s="180"/>
      <c r="I1709" s="180" t="s">
        <v>601</v>
      </c>
      <c r="J1709" s="180"/>
      <c r="K1709" s="180"/>
      <c r="L1709" s="180"/>
      <c r="M1709" s="180"/>
      <c r="N1709" s="180"/>
      <c r="O1709" s="180"/>
      <c r="P1709" s="180"/>
    </row>
    <row r="1710" spans="1:16" x14ac:dyDescent="0.45">
      <c r="A1710" s="180" t="s">
        <v>43</v>
      </c>
      <c r="B1710" s="73">
        <v>2</v>
      </c>
      <c r="C1710" s="73"/>
      <c r="D1710" s="180" t="s">
        <v>602</v>
      </c>
      <c r="E1710" s="39">
        <v>43594</v>
      </c>
      <c r="F1710" s="179">
        <v>0.5</v>
      </c>
      <c r="G1710" s="180">
        <v>1</v>
      </c>
      <c r="H1710" s="180"/>
      <c r="I1710" s="180" t="s">
        <v>603</v>
      </c>
      <c r="J1710" s="180"/>
      <c r="K1710" s="180"/>
      <c r="L1710" s="180"/>
      <c r="M1710" s="180"/>
      <c r="N1710" s="180"/>
      <c r="O1710" s="180"/>
      <c r="P1710" s="180"/>
    </row>
    <row r="1711" spans="1:16" x14ac:dyDescent="0.45">
      <c r="A1711" s="180" t="s">
        <v>43</v>
      </c>
      <c r="B1711" s="73">
        <v>1</v>
      </c>
      <c r="C1711" s="73">
        <v>1</v>
      </c>
      <c r="D1711" s="180" t="s">
        <v>600</v>
      </c>
      <c r="E1711" s="39">
        <v>43596</v>
      </c>
      <c r="F1711" s="179">
        <v>0.38055555555555554</v>
      </c>
      <c r="G1711" s="180">
        <v>20</v>
      </c>
      <c r="H1711" s="180" t="s">
        <v>604</v>
      </c>
      <c r="I1711" s="180" t="s">
        <v>605</v>
      </c>
      <c r="J1711" s="180"/>
      <c r="K1711" s="180"/>
      <c r="L1711" s="180"/>
      <c r="M1711" s="180"/>
      <c r="N1711" s="180"/>
      <c r="O1711" s="180"/>
      <c r="P1711" s="180"/>
    </row>
    <row r="1712" spans="1:16" x14ac:dyDescent="0.45">
      <c r="A1712" s="180" t="s">
        <v>43</v>
      </c>
      <c r="B1712" s="73">
        <v>1</v>
      </c>
      <c r="C1712" s="73"/>
      <c r="D1712" s="180" t="s">
        <v>600</v>
      </c>
      <c r="E1712" s="39">
        <v>43596</v>
      </c>
      <c r="F1712" s="179">
        <v>0.44166666666666665</v>
      </c>
      <c r="G1712" s="180">
        <v>20</v>
      </c>
      <c r="H1712" s="180"/>
      <c r="I1712" s="180"/>
      <c r="J1712" s="180"/>
      <c r="K1712" s="180"/>
      <c r="L1712" s="180"/>
      <c r="M1712" s="180"/>
      <c r="N1712" s="180"/>
      <c r="O1712" s="180"/>
      <c r="P1712" s="180"/>
    </row>
    <row r="1713" spans="1:16" x14ac:dyDescent="0.45">
      <c r="A1713" s="180" t="s">
        <v>43</v>
      </c>
      <c r="B1713" s="73">
        <v>2</v>
      </c>
      <c r="C1713" s="73"/>
      <c r="D1713" s="180" t="s">
        <v>602</v>
      </c>
      <c r="E1713" s="39">
        <v>43596</v>
      </c>
      <c r="F1713" s="179">
        <v>0.33749999999999997</v>
      </c>
      <c r="G1713" s="180">
        <v>1</v>
      </c>
      <c r="H1713" s="180"/>
      <c r="I1713" s="180" t="s">
        <v>606</v>
      </c>
      <c r="J1713" s="180"/>
      <c r="K1713" s="180"/>
      <c r="L1713" s="180"/>
      <c r="M1713" s="180"/>
      <c r="N1713" s="180"/>
      <c r="O1713" s="180"/>
      <c r="P1713" s="180"/>
    </row>
    <row r="1714" spans="1:16" x14ac:dyDescent="0.45">
      <c r="A1714" s="180" t="s">
        <v>43</v>
      </c>
      <c r="B1714" s="73">
        <v>2</v>
      </c>
      <c r="C1714" s="73"/>
      <c r="D1714" s="180" t="s">
        <v>602</v>
      </c>
      <c r="E1714" s="39">
        <v>43596</v>
      </c>
      <c r="F1714" s="179">
        <v>0.33333333333333331</v>
      </c>
      <c r="G1714" s="180">
        <v>2</v>
      </c>
      <c r="H1714" s="180"/>
      <c r="I1714" s="180" t="s">
        <v>607</v>
      </c>
      <c r="J1714" s="180"/>
      <c r="K1714" s="180"/>
      <c r="L1714" s="180"/>
      <c r="M1714" s="180"/>
      <c r="N1714" s="180"/>
      <c r="O1714" s="180"/>
      <c r="P1714" s="180"/>
    </row>
    <row r="1715" spans="1:16" x14ac:dyDescent="0.45">
      <c r="A1715" s="180" t="s">
        <v>43</v>
      </c>
      <c r="B1715" s="73">
        <v>2</v>
      </c>
      <c r="C1715" s="73"/>
      <c r="D1715" s="180" t="s">
        <v>602</v>
      </c>
      <c r="E1715" s="39">
        <v>43596</v>
      </c>
      <c r="F1715" s="179">
        <v>0.33749999999999997</v>
      </c>
      <c r="G1715" s="180">
        <v>1</v>
      </c>
      <c r="H1715" s="180"/>
      <c r="I1715" s="180" t="s">
        <v>608</v>
      </c>
      <c r="J1715" s="180"/>
      <c r="K1715" s="180"/>
      <c r="L1715" s="180"/>
      <c r="M1715" s="180"/>
      <c r="N1715" s="180"/>
      <c r="O1715" s="180"/>
      <c r="P1715" s="180"/>
    </row>
    <row r="1716" spans="1:16" x14ac:dyDescent="0.45">
      <c r="A1716" s="180" t="s">
        <v>43</v>
      </c>
      <c r="B1716" s="73">
        <v>1</v>
      </c>
      <c r="C1716" s="73">
        <v>1</v>
      </c>
      <c r="D1716" s="180" t="s">
        <v>600</v>
      </c>
      <c r="E1716" s="39">
        <v>43597</v>
      </c>
      <c r="F1716" s="179">
        <v>0.28819444444444448</v>
      </c>
      <c r="G1716" s="180">
        <v>6</v>
      </c>
      <c r="H1716" s="180" t="s">
        <v>609</v>
      </c>
      <c r="I1716" s="180"/>
      <c r="J1716" s="180"/>
      <c r="K1716" s="180"/>
      <c r="L1716" s="180"/>
      <c r="M1716" s="180"/>
      <c r="N1716" s="180"/>
      <c r="O1716" s="180"/>
      <c r="P1716" s="180"/>
    </row>
    <row r="1717" spans="1:16" x14ac:dyDescent="0.45">
      <c r="A1717" s="180" t="s">
        <v>43</v>
      </c>
      <c r="B1717" s="73">
        <v>1</v>
      </c>
      <c r="C1717" s="73"/>
      <c r="D1717" s="180" t="s">
        <v>600</v>
      </c>
      <c r="E1717" s="39">
        <v>43597</v>
      </c>
      <c r="F1717" s="179">
        <v>0.46527777777777773</v>
      </c>
      <c r="G1717" s="180">
        <v>1</v>
      </c>
      <c r="H1717" s="180" t="s">
        <v>610</v>
      </c>
      <c r="I1717" s="180" t="s">
        <v>611</v>
      </c>
      <c r="J1717" s="180"/>
      <c r="K1717" s="180"/>
      <c r="L1717" s="180"/>
      <c r="M1717" s="180"/>
      <c r="N1717" s="180"/>
      <c r="O1717" s="180"/>
      <c r="P1717" s="180"/>
    </row>
    <row r="1718" spans="1:16" x14ac:dyDescent="0.45">
      <c r="A1718" s="1" t="s">
        <v>273</v>
      </c>
      <c r="B1718" s="73"/>
      <c r="C1718" s="73">
        <f>SUM(C1703:C1717)</f>
        <v>5</v>
      </c>
      <c r="D1718" s="180"/>
      <c r="E1718" s="39"/>
      <c r="F1718" s="179"/>
      <c r="G1718" s="180"/>
      <c r="H1718" s="180"/>
      <c r="I1718" s="180"/>
      <c r="J1718" s="180"/>
      <c r="K1718" s="180"/>
      <c r="L1718" s="180"/>
      <c r="M1718" s="180"/>
      <c r="N1718" s="180"/>
      <c r="O1718" s="180"/>
      <c r="P1718" s="180"/>
    </row>
    <row r="1719" spans="1:16" x14ac:dyDescent="0.45">
      <c r="A1719" s="180"/>
      <c r="B1719" s="73"/>
      <c r="C1719" s="73"/>
      <c r="D1719" s="180"/>
      <c r="E1719" s="39"/>
      <c r="F1719" s="179"/>
      <c r="G1719" s="180"/>
      <c r="H1719" s="180"/>
      <c r="I1719" s="180"/>
      <c r="J1719" s="180"/>
      <c r="K1719" s="180"/>
      <c r="L1719" s="180"/>
      <c r="M1719" s="180"/>
      <c r="N1719" s="180"/>
      <c r="O1719" s="180"/>
      <c r="P1719" s="180"/>
    </row>
    <row r="1720" spans="1:16" x14ac:dyDescent="0.45">
      <c r="A1720" s="180" t="s">
        <v>80</v>
      </c>
      <c r="B1720" s="73">
        <v>1</v>
      </c>
      <c r="C1720" s="73">
        <v>1</v>
      </c>
      <c r="D1720" s="180" t="s">
        <v>600</v>
      </c>
      <c r="E1720" s="39">
        <v>43590</v>
      </c>
      <c r="F1720" s="179">
        <v>0.51388888888888895</v>
      </c>
      <c r="G1720" s="180">
        <v>1</v>
      </c>
      <c r="H1720" s="180"/>
      <c r="I1720" s="180"/>
      <c r="J1720" s="180"/>
      <c r="K1720" s="180"/>
      <c r="L1720" s="180"/>
      <c r="M1720" s="180"/>
      <c r="N1720" s="180"/>
      <c r="O1720" s="180"/>
      <c r="P1720" s="180"/>
    </row>
    <row r="1721" spans="1:16" x14ac:dyDescent="0.45">
      <c r="A1721" s="180" t="s">
        <v>80</v>
      </c>
      <c r="B1721" s="73">
        <v>23</v>
      </c>
      <c r="C1721" s="73">
        <v>23</v>
      </c>
      <c r="D1721" s="180" t="s">
        <v>600</v>
      </c>
      <c r="E1721" s="39">
        <v>43592</v>
      </c>
      <c r="F1721" s="179">
        <v>0.60416666666666663</v>
      </c>
      <c r="G1721" s="180">
        <v>1</v>
      </c>
      <c r="H1721" s="180"/>
      <c r="I1721" s="180"/>
      <c r="J1721" s="180"/>
      <c r="K1721" s="180"/>
      <c r="L1721" s="180"/>
      <c r="M1721" s="180"/>
      <c r="N1721" s="180"/>
      <c r="O1721" s="180"/>
      <c r="P1721" s="180"/>
    </row>
    <row r="1722" spans="1:16" x14ac:dyDescent="0.45">
      <c r="A1722" s="180" t="s">
        <v>80</v>
      </c>
      <c r="B1722" s="73">
        <v>2</v>
      </c>
      <c r="C1722" s="73">
        <v>2</v>
      </c>
      <c r="D1722" s="180" t="s">
        <v>600</v>
      </c>
      <c r="E1722" s="39">
        <v>43594</v>
      </c>
      <c r="F1722" s="179">
        <v>0.37222222222222223</v>
      </c>
      <c r="G1722" s="180">
        <v>24</v>
      </c>
      <c r="H1722" s="180"/>
      <c r="I1722" s="180"/>
      <c r="J1722" s="180"/>
      <c r="K1722" s="180"/>
      <c r="L1722" s="180"/>
      <c r="M1722" s="180"/>
      <c r="N1722" s="180"/>
      <c r="O1722" s="180"/>
      <c r="P1722" s="180"/>
    </row>
    <row r="1723" spans="1:16" x14ac:dyDescent="0.45">
      <c r="A1723" s="180" t="s">
        <v>80</v>
      </c>
      <c r="B1723" s="73">
        <v>2</v>
      </c>
      <c r="C1723" s="73"/>
      <c r="D1723" s="180" t="s">
        <v>600</v>
      </c>
      <c r="E1723" s="39">
        <v>43594</v>
      </c>
      <c r="F1723" s="179">
        <v>0.37222222222222223</v>
      </c>
      <c r="G1723" s="180">
        <v>24</v>
      </c>
      <c r="H1723" s="180"/>
      <c r="I1723" s="180"/>
      <c r="J1723" s="180"/>
      <c r="K1723" s="180"/>
      <c r="L1723" s="180"/>
      <c r="M1723" s="180"/>
      <c r="N1723" s="180"/>
      <c r="O1723" s="180"/>
      <c r="P1723" s="180"/>
    </row>
    <row r="1724" spans="1:16" x14ac:dyDescent="0.45">
      <c r="A1724" s="180" t="s">
        <v>80</v>
      </c>
      <c r="B1724" s="73">
        <v>2</v>
      </c>
      <c r="C1724" s="73"/>
      <c r="D1724" s="180" t="s">
        <v>600</v>
      </c>
      <c r="E1724" s="39">
        <v>43594</v>
      </c>
      <c r="F1724" s="179">
        <v>0.37222222222222223</v>
      </c>
      <c r="G1724" s="180">
        <v>24</v>
      </c>
      <c r="H1724" s="180"/>
      <c r="I1724" s="180"/>
      <c r="J1724" s="180"/>
      <c r="K1724" s="180"/>
      <c r="L1724" s="180"/>
      <c r="M1724" s="180"/>
      <c r="N1724" s="180"/>
      <c r="O1724" s="180"/>
      <c r="P1724" s="180"/>
    </row>
    <row r="1725" spans="1:16" x14ac:dyDescent="0.45">
      <c r="A1725" s="180" t="s">
        <v>80</v>
      </c>
      <c r="B1725" s="73">
        <v>2</v>
      </c>
      <c r="C1725" s="73"/>
      <c r="D1725" s="180" t="s">
        <v>600</v>
      </c>
      <c r="E1725" s="39">
        <v>43594</v>
      </c>
      <c r="F1725" s="179">
        <v>0.37222222222222223</v>
      </c>
      <c r="G1725" s="180">
        <v>24</v>
      </c>
      <c r="H1725" s="180"/>
      <c r="I1725" s="180"/>
      <c r="J1725" s="180"/>
      <c r="K1725" s="180"/>
      <c r="L1725" s="180"/>
      <c r="M1725" s="180"/>
      <c r="N1725" s="180"/>
      <c r="O1725" s="180"/>
      <c r="P1725" s="180"/>
    </row>
    <row r="1726" spans="1:16" x14ac:dyDescent="0.45">
      <c r="A1726" s="180" t="s">
        <v>80</v>
      </c>
      <c r="B1726" s="73">
        <v>2</v>
      </c>
      <c r="C1726" s="73"/>
      <c r="D1726" s="180" t="s">
        <v>600</v>
      </c>
      <c r="E1726" s="39">
        <v>43594</v>
      </c>
      <c r="F1726" s="179">
        <v>0.37222222222222223</v>
      </c>
      <c r="G1726" s="180">
        <v>24</v>
      </c>
      <c r="H1726" s="180"/>
      <c r="I1726" s="180"/>
      <c r="J1726" s="180"/>
      <c r="K1726" s="180"/>
      <c r="L1726" s="180"/>
      <c r="M1726" s="180"/>
      <c r="N1726" s="180"/>
      <c r="O1726" s="180"/>
      <c r="P1726" s="180"/>
    </row>
    <row r="1727" spans="1:16" x14ac:dyDescent="0.45">
      <c r="A1727" s="180" t="s">
        <v>80</v>
      </c>
      <c r="B1727" s="73">
        <v>2</v>
      </c>
      <c r="C1727" s="73"/>
      <c r="D1727" s="180" t="s">
        <v>600</v>
      </c>
      <c r="E1727" s="39">
        <v>43594</v>
      </c>
      <c r="F1727" s="179">
        <v>0.37222222222222223</v>
      </c>
      <c r="G1727" s="180">
        <v>24</v>
      </c>
      <c r="H1727" s="180"/>
      <c r="I1727" s="180"/>
      <c r="J1727" s="180"/>
      <c r="K1727" s="180"/>
      <c r="L1727" s="180"/>
      <c r="M1727" s="180"/>
      <c r="N1727" s="180"/>
      <c r="O1727" s="180"/>
      <c r="P1727" s="180"/>
    </row>
    <row r="1728" spans="1:16" x14ac:dyDescent="0.45">
      <c r="A1728" s="180" t="s">
        <v>80</v>
      </c>
      <c r="B1728" s="73">
        <v>2</v>
      </c>
      <c r="C1728" s="73"/>
      <c r="D1728" s="180" t="s">
        <v>602</v>
      </c>
      <c r="E1728" s="39">
        <v>43594</v>
      </c>
      <c r="F1728" s="179">
        <v>0.5</v>
      </c>
      <c r="G1728" s="180">
        <v>1</v>
      </c>
      <c r="H1728" s="180"/>
      <c r="I1728" s="180"/>
      <c r="J1728" s="180"/>
      <c r="K1728" s="180"/>
      <c r="L1728" s="180"/>
      <c r="M1728" s="180"/>
      <c r="N1728" s="180"/>
      <c r="O1728" s="180"/>
      <c r="P1728" s="180"/>
    </row>
    <row r="1729" spans="1:16" x14ac:dyDescent="0.45">
      <c r="A1729" s="180" t="s">
        <v>80</v>
      </c>
      <c r="B1729" s="73">
        <v>6</v>
      </c>
      <c r="C1729" s="73"/>
      <c r="D1729" s="180" t="s">
        <v>600</v>
      </c>
      <c r="E1729" s="39">
        <v>43595</v>
      </c>
      <c r="F1729" s="179">
        <v>0.37361111111111112</v>
      </c>
      <c r="G1729" s="180">
        <v>24</v>
      </c>
      <c r="H1729" s="180"/>
      <c r="I1729" s="180"/>
      <c r="J1729" s="180"/>
      <c r="K1729" s="180"/>
      <c r="L1729" s="180"/>
      <c r="M1729" s="180"/>
      <c r="N1729" s="180"/>
      <c r="O1729" s="180"/>
      <c r="P1729" s="180"/>
    </row>
    <row r="1730" spans="1:16" x14ac:dyDescent="0.45">
      <c r="A1730" s="180" t="s">
        <v>80</v>
      </c>
      <c r="B1730" s="73">
        <v>6</v>
      </c>
      <c r="C1730" s="73"/>
      <c r="D1730" s="180" t="s">
        <v>600</v>
      </c>
      <c r="E1730" s="39">
        <v>43595</v>
      </c>
      <c r="F1730" s="179">
        <v>0.37361111111111112</v>
      </c>
      <c r="G1730" s="180">
        <v>24</v>
      </c>
      <c r="H1730" s="180"/>
      <c r="I1730" s="180"/>
      <c r="J1730" s="180"/>
      <c r="K1730" s="180"/>
      <c r="L1730" s="180"/>
      <c r="M1730" s="180"/>
      <c r="N1730" s="180"/>
      <c r="O1730" s="180"/>
      <c r="P1730" s="180"/>
    </row>
    <row r="1731" spans="1:16" x14ac:dyDescent="0.45">
      <c r="A1731" s="180" t="s">
        <v>80</v>
      </c>
      <c r="B1731" s="73">
        <v>8</v>
      </c>
      <c r="C1731" s="73"/>
      <c r="D1731" s="180" t="s">
        <v>600</v>
      </c>
      <c r="E1731" s="39">
        <v>43595</v>
      </c>
      <c r="F1731" s="179">
        <v>0.61249999999999993</v>
      </c>
      <c r="G1731" s="180">
        <v>2</v>
      </c>
      <c r="H1731" s="180" t="s">
        <v>612</v>
      </c>
      <c r="I1731" s="180"/>
      <c r="J1731" s="180"/>
      <c r="K1731" s="180"/>
      <c r="L1731" s="180"/>
      <c r="M1731" s="180"/>
      <c r="N1731" s="180"/>
      <c r="O1731" s="180"/>
      <c r="P1731" s="180"/>
    </row>
    <row r="1732" spans="1:16" x14ac:dyDescent="0.45">
      <c r="A1732" s="180" t="s">
        <v>80</v>
      </c>
      <c r="B1732" s="73">
        <v>6</v>
      </c>
      <c r="C1732" s="73"/>
      <c r="D1732" s="180" t="s">
        <v>600</v>
      </c>
      <c r="E1732" s="39">
        <v>43595</v>
      </c>
      <c r="F1732" s="179">
        <v>0.37361111111111112</v>
      </c>
      <c r="G1732" s="180">
        <v>24</v>
      </c>
      <c r="H1732" s="180"/>
      <c r="I1732" s="180"/>
      <c r="J1732" s="180"/>
      <c r="K1732" s="180"/>
      <c r="L1732" s="180"/>
      <c r="M1732" s="180"/>
      <c r="N1732" s="180"/>
      <c r="O1732" s="180"/>
      <c r="P1732" s="180"/>
    </row>
    <row r="1733" spans="1:16" x14ac:dyDescent="0.45">
      <c r="A1733" s="180" t="s">
        <v>80</v>
      </c>
      <c r="B1733" s="73">
        <v>8</v>
      </c>
      <c r="C1733" s="73">
        <v>8</v>
      </c>
      <c r="D1733" s="180" t="s">
        <v>600</v>
      </c>
      <c r="E1733" s="39">
        <v>43595</v>
      </c>
      <c r="F1733" s="179">
        <v>0.61249999999999993</v>
      </c>
      <c r="G1733" s="180">
        <v>2</v>
      </c>
      <c r="H1733" s="180" t="s">
        <v>612</v>
      </c>
      <c r="I1733" s="180"/>
      <c r="J1733" s="180"/>
      <c r="K1733" s="180"/>
      <c r="L1733" s="180"/>
      <c r="M1733" s="180"/>
      <c r="N1733" s="180"/>
      <c r="O1733" s="180"/>
      <c r="P1733" s="180"/>
    </row>
    <row r="1734" spans="1:16" x14ac:dyDescent="0.45">
      <c r="A1734" s="180" t="s">
        <v>80</v>
      </c>
      <c r="B1734" s="73">
        <v>7</v>
      </c>
      <c r="C1734" s="73"/>
      <c r="D1734" s="180" t="s">
        <v>600</v>
      </c>
      <c r="E1734" s="39">
        <v>43595</v>
      </c>
      <c r="F1734" s="179">
        <v>0.60416666666666663</v>
      </c>
      <c r="G1734" s="180">
        <v>2</v>
      </c>
      <c r="H1734" s="180"/>
      <c r="I1734" s="180"/>
      <c r="J1734" s="180"/>
      <c r="K1734" s="180"/>
      <c r="L1734" s="180"/>
      <c r="M1734" s="180"/>
      <c r="N1734" s="180"/>
      <c r="O1734" s="180"/>
      <c r="P1734" s="180"/>
    </row>
    <row r="1735" spans="1:16" x14ac:dyDescent="0.45">
      <c r="A1735" s="180" t="s">
        <v>80</v>
      </c>
      <c r="B1735" s="73">
        <v>6</v>
      </c>
      <c r="C1735" s="73"/>
      <c r="D1735" s="180" t="s">
        <v>600</v>
      </c>
      <c r="E1735" s="39">
        <v>43595</v>
      </c>
      <c r="F1735" s="179">
        <v>0.37361111111111112</v>
      </c>
      <c r="G1735" s="180">
        <v>24</v>
      </c>
      <c r="H1735" s="180"/>
      <c r="I1735" s="180"/>
      <c r="J1735" s="180"/>
      <c r="K1735" s="180"/>
      <c r="L1735" s="180"/>
      <c r="M1735" s="180"/>
      <c r="N1735" s="180"/>
      <c r="O1735" s="180"/>
      <c r="P1735" s="180"/>
    </row>
    <row r="1736" spans="1:16" x14ac:dyDescent="0.45">
      <c r="A1736" s="180" t="s">
        <v>80</v>
      </c>
      <c r="B1736" s="73">
        <v>6</v>
      </c>
      <c r="C1736" s="73"/>
      <c r="D1736" s="180" t="s">
        <v>600</v>
      </c>
      <c r="E1736" s="39">
        <v>43595</v>
      </c>
      <c r="F1736" s="179">
        <v>0.37361111111111112</v>
      </c>
      <c r="G1736" s="180">
        <v>24</v>
      </c>
      <c r="H1736" s="180"/>
      <c r="I1736" s="180"/>
      <c r="J1736" s="180"/>
      <c r="K1736" s="180"/>
      <c r="L1736" s="180"/>
      <c r="M1736" s="180"/>
      <c r="N1736" s="180"/>
      <c r="O1736" s="180"/>
      <c r="P1736" s="180"/>
    </row>
    <row r="1737" spans="1:16" x14ac:dyDescent="0.45">
      <c r="A1737" s="180" t="s">
        <v>80</v>
      </c>
      <c r="B1737" s="73">
        <v>7</v>
      </c>
      <c r="C1737" s="73"/>
      <c r="D1737" s="180" t="s">
        <v>600</v>
      </c>
      <c r="E1737" s="39">
        <v>43595</v>
      </c>
      <c r="F1737" s="179">
        <v>0.78055555555555556</v>
      </c>
      <c r="G1737" s="180">
        <v>1</v>
      </c>
      <c r="H1737" s="180"/>
      <c r="I1737" s="180"/>
      <c r="J1737" s="180"/>
      <c r="K1737" s="180"/>
      <c r="L1737" s="180"/>
      <c r="M1737" s="180"/>
      <c r="N1737" s="180"/>
      <c r="O1737" s="180"/>
      <c r="P1737" s="180"/>
    </row>
    <row r="1738" spans="1:16" x14ac:dyDescent="0.45">
      <c r="A1738" s="180" t="s">
        <v>80</v>
      </c>
      <c r="B1738" s="73">
        <v>6</v>
      </c>
      <c r="C1738" s="73"/>
      <c r="D1738" s="180" t="s">
        <v>600</v>
      </c>
      <c r="E1738" s="39">
        <v>43595</v>
      </c>
      <c r="F1738" s="179">
        <v>0.37361111111111112</v>
      </c>
      <c r="G1738" s="180">
        <v>24</v>
      </c>
      <c r="H1738" s="180"/>
      <c r="I1738" s="180"/>
      <c r="J1738" s="180"/>
      <c r="K1738" s="180"/>
      <c r="L1738" s="180"/>
      <c r="M1738" s="180"/>
      <c r="N1738" s="180"/>
      <c r="O1738" s="180"/>
      <c r="P1738" s="180"/>
    </row>
    <row r="1739" spans="1:16" x14ac:dyDescent="0.45">
      <c r="A1739" s="180" t="s">
        <v>80</v>
      </c>
      <c r="B1739" s="73">
        <v>6</v>
      </c>
      <c r="C1739" s="73"/>
      <c r="D1739" s="180" t="s">
        <v>602</v>
      </c>
      <c r="E1739" s="39">
        <v>43595</v>
      </c>
      <c r="F1739" s="179">
        <v>0.43472222222222223</v>
      </c>
      <c r="G1739" s="180">
        <v>1</v>
      </c>
      <c r="H1739" s="180"/>
      <c r="I1739" s="180"/>
      <c r="J1739" s="180"/>
      <c r="K1739" s="180"/>
      <c r="L1739" s="180"/>
      <c r="M1739" s="180"/>
      <c r="N1739" s="180"/>
      <c r="O1739" s="180"/>
      <c r="P1739" s="180"/>
    </row>
    <row r="1740" spans="1:16" x14ac:dyDescent="0.45">
      <c r="A1740" s="180" t="s">
        <v>80</v>
      </c>
      <c r="B1740" s="73">
        <v>4</v>
      </c>
      <c r="C1740" s="73">
        <v>4</v>
      </c>
      <c r="D1740" s="180" t="s">
        <v>600</v>
      </c>
      <c r="E1740" s="39">
        <v>43596</v>
      </c>
      <c r="F1740" s="179">
        <v>0.28125</v>
      </c>
      <c r="G1740" s="180">
        <v>2</v>
      </c>
      <c r="H1740" s="180" t="s">
        <v>613</v>
      </c>
      <c r="I1740" s="180"/>
      <c r="J1740" s="180"/>
      <c r="K1740" s="180"/>
      <c r="L1740" s="180"/>
      <c r="M1740" s="180"/>
      <c r="N1740" s="180"/>
      <c r="O1740" s="180"/>
      <c r="P1740" s="180"/>
    </row>
    <row r="1741" spans="1:16" x14ac:dyDescent="0.45">
      <c r="A1741" s="180" t="s">
        <v>80</v>
      </c>
      <c r="B1741" s="73">
        <v>3</v>
      </c>
      <c r="C1741" s="73"/>
      <c r="D1741" s="180" t="s">
        <v>600</v>
      </c>
      <c r="E1741" s="39">
        <v>43596</v>
      </c>
      <c r="F1741" s="179">
        <v>0.38055555555555554</v>
      </c>
      <c r="G1741" s="180">
        <v>20</v>
      </c>
      <c r="H1741" s="180" t="s">
        <v>604</v>
      </c>
      <c r="I1741" s="180"/>
      <c r="J1741" s="180"/>
      <c r="K1741" s="180"/>
      <c r="L1741" s="180"/>
      <c r="M1741" s="180"/>
      <c r="N1741" s="180"/>
      <c r="O1741" s="180"/>
      <c r="P1741" s="180"/>
    </row>
    <row r="1742" spans="1:16" x14ac:dyDescent="0.45">
      <c r="A1742" s="180" t="s">
        <v>80</v>
      </c>
      <c r="B1742" s="73">
        <v>5</v>
      </c>
      <c r="C1742" s="73">
        <v>5</v>
      </c>
      <c r="D1742" s="180" t="s">
        <v>600</v>
      </c>
      <c r="E1742" s="39">
        <v>43597</v>
      </c>
      <c r="F1742" s="179">
        <v>0.28819444444444448</v>
      </c>
      <c r="G1742" s="180">
        <v>6</v>
      </c>
      <c r="H1742" s="180" t="s">
        <v>609</v>
      </c>
      <c r="I1742" s="180"/>
      <c r="J1742" s="180"/>
      <c r="K1742" s="180"/>
      <c r="L1742" s="180"/>
      <c r="M1742" s="180"/>
      <c r="N1742" s="180"/>
      <c r="O1742" s="180"/>
      <c r="P1742" s="180"/>
    </row>
    <row r="1743" spans="1:16" x14ac:dyDescent="0.45">
      <c r="A1743" s="180" t="s">
        <v>80</v>
      </c>
      <c r="B1743" s="73">
        <v>3</v>
      </c>
      <c r="C1743" s="73"/>
      <c r="D1743" s="180" t="s">
        <v>600</v>
      </c>
      <c r="E1743" s="39">
        <v>43597</v>
      </c>
      <c r="F1743" s="179">
        <v>0.45763888888888887</v>
      </c>
      <c r="G1743" s="180">
        <v>3</v>
      </c>
      <c r="H1743" s="180"/>
      <c r="I1743" s="180"/>
      <c r="J1743" s="180"/>
      <c r="K1743" s="180"/>
      <c r="L1743" s="180"/>
      <c r="M1743" s="180"/>
      <c r="N1743" s="180"/>
      <c r="O1743" s="180"/>
      <c r="P1743" s="180"/>
    </row>
    <row r="1744" spans="1:16" x14ac:dyDescent="0.45">
      <c r="A1744" s="180" t="s">
        <v>80</v>
      </c>
      <c r="B1744" s="73">
        <v>2</v>
      </c>
      <c r="C1744" s="73"/>
      <c r="D1744" s="180" t="s">
        <v>600</v>
      </c>
      <c r="E1744" s="39">
        <v>43597</v>
      </c>
      <c r="F1744" s="179">
        <v>0.4826388888888889</v>
      </c>
      <c r="G1744" s="180">
        <v>10</v>
      </c>
      <c r="H1744" s="180" t="s">
        <v>614</v>
      </c>
      <c r="I1744" s="180"/>
      <c r="J1744" s="180"/>
      <c r="K1744" s="180"/>
      <c r="L1744" s="180"/>
      <c r="M1744" s="180"/>
      <c r="N1744" s="180"/>
      <c r="O1744" s="180"/>
      <c r="P1744" s="180"/>
    </row>
    <row r="1745" spans="1:16" x14ac:dyDescent="0.45">
      <c r="A1745" s="180" t="s">
        <v>80</v>
      </c>
      <c r="B1745" s="73">
        <v>3</v>
      </c>
      <c r="C1745" s="73"/>
      <c r="D1745" s="180" t="s">
        <v>600</v>
      </c>
      <c r="E1745" s="39">
        <v>43597</v>
      </c>
      <c r="F1745" s="179">
        <v>0.45833333333333331</v>
      </c>
      <c r="G1745" s="180">
        <v>3</v>
      </c>
      <c r="H1745" s="180"/>
      <c r="I1745" s="180"/>
      <c r="J1745" s="180"/>
      <c r="K1745" s="180"/>
      <c r="L1745" s="180"/>
      <c r="M1745" s="180"/>
      <c r="N1745" s="180"/>
      <c r="O1745" s="180"/>
      <c r="P1745" s="180"/>
    </row>
    <row r="1746" spans="1:16" x14ac:dyDescent="0.45">
      <c r="A1746" s="180" t="s">
        <v>80</v>
      </c>
      <c r="B1746" s="73">
        <v>4</v>
      </c>
      <c r="C1746" s="73"/>
      <c r="D1746" s="180" t="s">
        <v>600</v>
      </c>
      <c r="E1746" s="39">
        <v>43597</v>
      </c>
      <c r="F1746" s="179">
        <v>0.4375</v>
      </c>
      <c r="G1746" s="180">
        <v>12</v>
      </c>
      <c r="H1746" s="180" t="s">
        <v>615</v>
      </c>
      <c r="I1746" s="180"/>
      <c r="J1746" s="180"/>
      <c r="K1746" s="180"/>
      <c r="L1746" s="180"/>
      <c r="M1746" s="180"/>
      <c r="N1746" s="180"/>
      <c r="O1746" s="180"/>
      <c r="P1746" s="180"/>
    </row>
    <row r="1747" spans="1:16" x14ac:dyDescent="0.45">
      <c r="A1747" s="180" t="s">
        <v>80</v>
      </c>
      <c r="B1747" s="73">
        <v>3</v>
      </c>
      <c r="C1747" s="73"/>
      <c r="D1747" s="180" t="s">
        <v>602</v>
      </c>
      <c r="E1747" s="39">
        <v>43597</v>
      </c>
      <c r="F1747" s="179">
        <v>0.49027777777777781</v>
      </c>
      <c r="G1747" s="180">
        <v>9</v>
      </c>
      <c r="H1747" s="180" t="s">
        <v>616</v>
      </c>
      <c r="I1747" s="180"/>
      <c r="J1747" s="180"/>
      <c r="K1747" s="180"/>
      <c r="L1747" s="180"/>
      <c r="M1747" s="180"/>
      <c r="N1747" s="180"/>
      <c r="O1747" s="180"/>
      <c r="P1747" s="180"/>
    </row>
    <row r="1748" spans="1:16" x14ac:dyDescent="0.45">
      <c r="A1748" s="180" t="s">
        <v>80</v>
      </c>
      <c r="B1748" s="73">
        <v>1</v>
      </c>
      <c r="C1748" s="73">
        <v>1</v>
      </c>
      <c r="D1748" s="180" t="s">
        <v>600</v>
      </c>
      <c r="E1748" s="39">
        <v>43598</v>
      </c>
      <c r="F1748" s="179">
        <v>0.60416666666666663</v>
      </c>
      <c r="G1748" s="180">
        <v>6</v>
      </c>
      <c r="H1748" s="180" t="s">
        <v>617</v>
      </c>
      <c r="I1748" s="180"/>
      <c r="J1748" s="180"/>
      <c r="K1748" s="180"/>
      <c r="L1748" s="180"/>
      <c r="M1748" s="180"/>
      <c r="N1748" s="180"/>
      <c r="O1748" s="180"/>
      <c r="P1748" s="180"/>
    </row>
    <row r="1749" spans="1:16" x14ac:dyDescent="0.45">
      <c r="A1749" s="180" t="s">
        <v>80</v>
      </c>
      <c r="B1749" s="73">
        <v>1</v>
      </c>
      <c r="C1749" s="73"/>
      <c r="D1749" s="180" t="s">
        <v>618</v>
      </c>
      <c r="E1749" s="39">
        <v>43599</v>
      </c>
      <c r="F1749" s="179">
        <v>0.59375</v>
      </c>
      <c r="G1749" s="180">
        <v>2</v>
      </c>
      <c r="H1749" s="180"/>
      <c r="I1749" s="180"/>
      <c r="J1749" s="180"/>
      <c r="K1749" s="180"/>
      <c r="L1749" s="180"/>
      <c r="M1749" s="180"/>
      <c r="N1749" s="180"/>
      <c r="O1749" s="180"/>
      <c r="P1749" s="180"/>
    </row>
    <row r="1750" spans="1:16" x14ac:dyDescent="0.45">
      <c r="A1750" s="180" t="s">
        <v>80</v>
      </c>
      <c r="B1750" s="73">
        <v>1</v>
      </c>
      <c r="C1750" s="73"/>
      <c r="D1750" s="180" t="s">
        <v>618</v>
      </c>
      <c r="E1750" s="39">
        <v>43599</v>
      </c>
      <c r="F1750" s="179">
        <v>0.59375</v>
      </c>
      <c r="G1750" s="180">
        <v>2</v>
      </c>
      <c r="H1750" s="180"/>
      <c r="I1750" s="180"/>
      <c r="J1750" s="180"/>
      <c r="K1750" s="180"/>
      <c r="L1750" s="180"/>
      <c r="M1750" s="180"/>
      <c r="N1750" s="180"/>
      <c r="O1750" s="180"/>
      <c r="P1750" s="180"/>
    </row>
    <row r="1751" spans="1:16" x14ac:dyDescent="0.45">
      <c r="A1751" s="180" t="s">
        <v>80</v>
      </c>
      <c r="B1751" s="73">
        <v>2</v>
      </c>
      <c r="C1751" s="73">
        <v>2</v>
      </c>
      <c r="D1751" s="180" t="s">
        <v>600</v>
      </c>
      <c r="E1751" s="39">
        <v>43599</v>
      </c>
      <c r="F1751" s="179">
        <v>0.6166666666666667</v>
      </c>
      <c r="G1751" s="180">
        <v>2</v>
      </c>
      <c r="H1751" s="180"/>
      <c r="I1751" s="180"/>
      <c r="J1751" s="180"/>
      <c r="K1751" s="180"/>
      <c r="L1751" s="180"/>
      <c r="M1751" s="180"/>
      <c r="N1751" s="180"/>
      <c r="O1751" s="180"/>
      <c r="P1751" s="180"/>
    </row>
    <row r="1752" spans="1:16" x14ac:dyDescent="0.45">
      <c r="A1752" s="180" t="s">
        <v>80</v>
      </c>
      <c r="B1752" s="73">
        <v>1</v>
      </c>
      <c r="C1752" s="73">
        <v>1</v>
      </c>
      <c r="D1752" s="180" t="s">
        <v>600</v>
      </c>
      <c r="E1752" s="39">
        <v>43600</v>
      </c>
      <c r="F1752" s="179">
        <v>0.68055555555555547</v>
      </c>
      <c r="G1752" s="180">
        <v>2</v>
      </c>
      <c r="H1752" s="180" t="s">
        <v>405</v>
      </c>
      <c r="I1752" s="180"/>
      <c r="J1752" s="180"/>
      <c r="K1752" s="180"/>
      <c r="L1752" s="180"/>
      <c r="M1752" s="180"/>
      <c r="N1752" s="180"/>
      <c r="O1752" s="180"/>
      <c r="P1752" s="180"/>
    </row>
    <row r="1753" spans="1:16" x14ac:dyDescent="0.45">
      <c r="A1753" s="1" t="s">
        <v>273</v>
      </c>
      <c r="B1753" s="73"/>
      <c r="C1753" s="73">
        <f>SUM(C1720:C1752)</f>
        <v>47</v>
      </c>
      <c r="D1753" s="180"/>
      <c r="E1753" s="39"/>
      <c r="F1753" s="179"/>
      <c r="G1753" s="180"/>
      <c r="H1753" s="180"/>
      <c r="I1753" s="180"/>
      <c r="J1753" s="180"/>
      <c r="K1753" s="180"/>
      <c r="L1753" s="180"/>
      <c r="M1753" s="180"/>
      <c r="N1753" s="180"/>
      <c r="O1753" s="180"/>
      <c r="P1753" s="180"/>
    </row>
    <row r="1754" spans="1:16" x14ac:dyDescent="0.45">
      <c r="A1754" s="180"/>
      <c r="B1754" s="73"/>
      <c r="C1754" s="73"/>
      <c r="D1754" s="180"/>
      <c r="E1754" s="39"/>
      <c r="F1754" s="179"/>
      <c r="G1754" s="180"/>
      <c r="H1754" s="180"/>
      <c r="I1754" s="180"/>
      <c r="J1754" s="180"/>
      <c r="K1754" s="180"/>
      <c r="L1754" s="180"/>
      <c r="M1754" s="180"/>
      <c r="N1754" s="180"/>
      <c r="O1754" s="180"/>
      <c r="P1754" s="180"/>
    </row>
    <row r="1755" spans="1:16" x14ac:dyDescent="0.45">
      <c r="A1755" s="180" t="s">
        <v>2</v>
      </c>
      <c r="B1755" s="73">
        <v>1</v>
      </c>
      <c r="C1755" s="73">
        <v>1</v>
      </c>
      <c r="D1755" s="180" t="s">
        <v>600</v>
      </c>
      <c r="E1755" s="39">
        <v>43583</v>
      </c>
      <c r="F1755" s="179">
        <v>0.42638888888888887</v>
      </c>
      <c r="G1755" s="180">
        <v>5</v>
      </c>
      <c r="H1755" s="180"/>
      <c r="I1755" s="180"/>
      <c r="J1755" s="180"/>
      <c r="K1755" s="180"/>
      <c r="L1755" s="180"/>
      <c r="M1755" s="180"/>
      <c r="N1755" s="180"/>
      <c r="O1755" s="180"/>
      <c r="P1755" s="180"/>
    </row>
    <row r="1756" spans="1:16" x14ac:dyDescent="0.45">
      <c r="A1756" s="180" t="s">
        <v>2</v>
      </c>
      <c r="B1756" s="73">
        <v>1</v>
      </c>
      <c r="C1756" s="73"/>
      <c r="D1756" s="180" t="s">
        <v>602</v>
      </c>
      <c r="E1756" s="39">
        <v>43583</v>
      </c>
      <c r="F1756" s="179">
        <v>0.4375</v>
      </c>
      <c r="G1756" s="180">
        <v>6</v>
      </c>
      <c r="H1756" s="180" t="s">
        <v>619</v>
      </c>
      <c r="I1756" s="180"/>
      <c r="J1756" s="180"/>
      <c r="K1756" s="180"/>
      <c r="L1756" s="180"/>
      <c r="M1756" s="180"/>
      <c r="N1756" s="180"/>
      <c r="O1756" s="180"/>
      <c r="P1756" s="180"/>
    </row>
    <row r="1757" spans="1:16" x14ac:dyDescent="0.45">
      <c r="A1757" s="180" t="s">
        <v>2</v>
      </c>
      <c r="B1757" s="73">
        <v>3</v>
      </c>
      <c r="C1757" s="73">
        <v>3</v>
      </c>
      <c r="D1757" s="180" t="s">
        <v>600</v>
      </c>
      <c r="E1757" s="39">
        <v>43588</v>
      </c>
      <c r="F1757" s="179">
        <v>0.45624999999999999</v>
      </c>
      <c r="G1757" s="180">
        <v>1</v>
      </c>
      <c r="H1757" s="180"/>
      <c r="I1757" s="180"/>
      <c r="J1757" s="180"/>
      <c r="K1757" s="180"/>
      <c r="L1757" s="180"/>
      <c r="M1757" s="180"/>
      <c r="N1757" s="180"/>
      <c r="O1757" s="180"/>
      <c r="P1757" s="180"/>
    </row>
    <row r="1758" spans="1:16" x14ac:dyDescent="0.45">
      <c r="A1758" s="180" t="s">
        <v>2</v>
      </c>
      <c r="B1758" s="73">
        <v>2</v>
      </c>
      <c r="C1758" s="73"/>
      <c r="D1758" s="180" t="s">
        <v>600</v>
      </c>
      <c r="E1758" s="39">
        <v>43588</v>
      </c>
      <c r="F1758" s="179">
        <v>0.67013888888888884</v>
      </c>
      <c r="G1758" s="180">
        <v>2</v>
      </c>
      <c r="H1758" s="180"/>
      <c r="I1758" s="180"/>
      <c r="J1758" s="180"/>
      <c r="K1758" s="180"/>
      <c r="L1758" s="180"/>
      <c r="M1758" s="180"/>
      <c r="N1758" s="180"/>
      <c r="O1758" s="180"/>
      <c r="P1758" s="180"/>
    </row>
    <row r="1759" spans="1:16" x14ac:dyDescent="0.45">
      <c r="A1759" s="180" t="s">
        <v>2</v>
      </c>
      <c r="B1759" s="73">
        <v>2</v>
      </c>
      <c r="C1759" s="73"/>
      <c r="D1759" s="180" t="s">
        <v>602</v>
      </c>
      <c r="E1759" s="39">
        <v>43588</v>
      </c>
      <c r="F1759" s="179">
        <v>0.67708333333333337</v>
      </c>
      <c r="G1759" s="180">
        <v>2</v>
      </c>
      <c r="H1759" s="180" t="s">
        <v>620</v>
      </c>
      <c r="I1759" s="180"/>
      <c r="J1759" s="180"/>
      <c r="K1759" s="180"/>
      <c r="L1759" s="180"/>
      <c r="M1759" s="180"/>
      <c r="N1759" s="180"/>
      <c r="O1759" s="180"/>
      <c r="P1759" s="180"/>
    </row>
    <row r="1760" spans="1:16" x14ac:dyDescent="0.45">
      <c r="A1760" s="180" t="s">
        <v>2</v>
      </c>
      <c r="B1760" s="73">
        <v>1</v>
      </c>
      <c r="C1760" s="73">
        <v>1</v>
      </c>
      <c r="D1760" s="180" t="s">
        <v>600</v>
      </c>
      <c r="E1760" s="39">
        <v>43589</v>
      </c>
      <c r="F1760" s="179">
        <v>0.67222222222222217</v>
      </c>
      <c r="G1760" s="180">
        <v>2</v>
      </c>
      <c r="H1760" s="180" t="s">
        <v>621</v>
      </c>
      <c r="I1760" s="180"/>
      <c r="J1760" s="180"/>
      <c r="K1760" s="180"/>
      <c r="L1760" s="180"/>
      <c r="M1760" s="180"/>
      <c r="N1760" s="180"/>
      <c r="O1760" s="180"/>
      <c r="P1760" s="180"/>
    </row>
    <row r="1761" spans="1:16" x14ac:dyDescent="0.45">
      <c r="A1761" s="180" t="s">
        <v>2</v>
      </c>
      <c r="B1761" s="73">
        <v>4</v>
      </c>
      <c r="C1761" s="73"/>
      <c r="D1761" s="180" t="s">
        <v>600</v>
      </c>
      <c r="E1761" s="39">
        <v>43590</v>
      </c>
      <c r="F1761" s="179">
        <v>0.52083333333333337</v>
      </c>
      <c r="G1761" s="180">
        <v>2</v>
      </c>
      <c r="H1761" s="180"/>
      <c r="I1761" s="180"/>
      <c r="J1761" s="180"/>
      <c r="K1761" s="180"/>
      <c r="L1761" s="180"/>
      <c r="M1761" s="180"/>
      <c r="N1761" s="180"/>
      <c r="O1761" s="180"/>
      <c r="P1761" s="180"/>
    </row>
    <row r="1762" spans="1:16" x14ac:dyDescent="0.45">
      <c r="A1762" s="180" t="s">
        <v>2</v>
      </c>
      <c r="B1762" s="73">
        <v>5</v>
      </c>
      <c r="C1762" s="73">
        <v>5</v>
      </c>
      <c r="D1762" s="180" t="s">
        <v>600</v>
      </c>
      <c r="E1762" s="39">
        <v>43590</v>
      </c>
      <c r="F1762" s="179">
        <v>0.51388888888888895</v>
      </c>
      <c r="G1762" s="180">
        <v>1</v>
      </c>
      <c r="H1762" s="180"/>
      <c r="I1762" s="180"/>
      <c r="J1762" s="180"/>
      <c r="K1762" s="180"/>
      <c r="L1762" s="180"/>
      <c r="M1762" s="180"/>
      <c r="N1762" s="180"/>
      <c r="O1762" s="180"/>
      <c r="P1762" s="180"/>
    </row>
    <row r="1763" spans="1:16" x14ac:dyDescent="0.45">
      <c r="A1763" s="180" t="s">
        <v>2</v>
      </c>
      <c r="B1763" s="73">
        <v>3</v>
      </c>
      <c r="C1763" s="73">
        <v>3</v>
      </c>
      <c r="D1763" s="180" t="s">
        <v>600</v>
      </c>
      <c r="E1763" s="39">
        <v>43592</v>
      </c>
      <c r="F1763" s="179">
        <v>0.60416666666666663</v>
      </c>
      <c r="G1763" s="180">
        <v>1</v>
      </c>
      <c r="H1763" s="180"/>
      <c r="I1763" s="180"/>
      <c r="J1763" s="180"/>
      <c r="K1763" s="180"/>
      <c r="L1763" s="180"/>
      <c r="M1763" s="180"/>
      <c r="N1763" s="180"/>
      <c r="O1763" s="180"/>
      <c r="P1763" s="180"/>
    </row>
    <row r="1764" spans="1:16" x14ac:dyDescent="0.45">
      <c r="A1764" s="180" t="s">
        <v>2</v>
      </c>
      <c r="B1764" s="73">
        <v>4</v>
      </c>
      <c r="C1764" s="73">
        <v>4</v>
      </c>
      <c r="D1764" s="180" t="s">
        <v>600</v>
      </c>
      <c r="E1764" s="39">
        <v>43593</v>
      </c>
      <c r="F1764" s="179">
        <v>0.79652777777777783</v>
      </c>
      <c r="G1764" s="180">
        <v>1</v>
      </c>
      <c r="H1764" s="180"/>
      <c r="I1764" s="180"/>
      <c r="J1764" s="180"/>
      <c r="K1764" s="180"/>
      <c r="L1764" s="180"/>
      <c r="M1764" s="180"/>
      <c r="N1764" s="180"/>
      <c r="O1764" s="180"/>
      <c r="P1764" s="180"/>
    </row>
    <row r="1765" spans="1:16" x14ac:dyDescent="0.45">
      <c r="A1765" s="180" t="s">
        <v>2</v>
      </c>
      <c r="B1765" s="73">
        <v>4</v>
      </c>
      <c r="C1765" s="73"/>
      <c r="D1765" s="180" t="s">
        <v>602</v>
      </c>
      <c r="E1765" s="39">
        <v>43593</v>
      </c>
      <c r="F1765" s="179">
        <v>0.80208333333333337</v>
      </c>
      <c r="G1765" s="180">
        <v>9</v>
      </c>
      <c r="H1765" s="180" t="s">
        <v>622</v>
      </c>
      <c r="I1765" s="180"/>
      <c r="J1765" s="180"/>
      <c r="K1765" s="180"/>
      <c r="L1765" s="180"/>
      <c r="M1765" s="180"/>
      <c r="N1765" s="180"/>
      <c r="O1765" s="180"/>
      <c r="P1765" s="180"/>
    </row>
    <row r="1766" spans="1:16" x14ac:dyDescent="0.45">
      <c r="A1766" s="180" t="s">
        <v>2</v>
      </c>
      <c r="B1766" s="73">
        <v>6</v>
      </c>
      <c r="C1766" s="73">
        <v>6</v>
      </c>
      <c r="D1766" s="180" t="s">
        <v>600</v>
      </c>
      <c r="E1766" s="39">
        <v>43594</v>
      </c>
      <c r="F1766" s="179">
        <v>0.37222222222222223</v>
      </c>
      <c r="G1766" s="180">
        <v>24</v>
      </c>
      <c r="H1766" s="180"/>
      <c r="I1766" s="180"/>
      <c r="J1766" s="180"/>
      <c r="K1766" s="180"/>
      <c r="L1766" s="180"/>
      <c r="M1766" s="180"/>
      <c r="N1766" s="180"/>
      <c r="O1766" s="180"/>
      <c r="P1766" s="180"/>
    </row>
    <row r="1767" spans="1:16" x14ac:dyDescent="0.45">
      <c r="A1767" s="180" t="s">
        <v>2</v>
      </c>
      <c r="B1767" s="73">
        <v>6</v>
      </c>
      <c r="C1767" s="73"/>
      <c r="D1767" s="180" t="s">
        <v>600</v>
      </c>
      <c r="E1767" s="39">
        <v>43594</v>
      </c>
      <c r="F1767" s="179">
        <v>0.37222222222222223</v>
      </c>
      <c r="G1767" s="180">
        <v>24</v>
      </c>
      <c r="H1767" s="180"/>
      <c r="I1767" s="180"/>
      <c r="J1767" s="180"/>
      <c r="K1767" s="180"/>
      <c r="L1767" s="180"/>
      <c r="M1767" s="180"/>
      <c r="N1767" s="180"/>
      <c r="O1767" s="180"/>
      <c r="P1767" s="180"/>
    </row>
    <row r="1768" spans="1:16" x14ac:dyDescent="0.45">
      <c r="A1768" s="180" t="s">
        <v>2</v>
      </c>
      <c r="B1768" s="73">
        <v>6</v>
      </c>
      <c r="C1768" s="73"/>
      <c r="D1768" s="180" t="s">
        <v>600</v>
      </c>
      <c r="E1768" s="39">
        <v>43594</v>
      </c>
      <c r="F1768" s="179">
        <v>0.37222222222222223</v>
      </c>
      <c r="G1768" s="180">
        <v>24</v>
      </c>
      <c r="H1768" s="180"/>
      <c r="I1768" s="180"/>
      <c r="J1768" s="180"/>
      <c r="K1768" s="180"/>
      <c r="L1768" s="180"/>
      <c r="M1768" s="180"/>
      <c r="N1768" s="180"/>
      <c r="O1768" s="180"/>
      <c r="P1768" s="180"/>
    </row>
    <row r="1769" spans="1:16" x14ac:dyDescent="0.45">
      <c r="A1769" s="180" t="s">
        <v>2</v>
      </c>
      <c r="B1769" s="73">
        <v>6</v>
      </c>
      <c r="C1769" s="73"/>
      <c r="D1769" s="180" t="s">
        <v>600</v>
      </c>
      <c r="E1769" s="39">
        <v>43594</v>
      </c>
      <c r="F1769" s="179">
        <v>0.37222222222222223</v>
      </c>
      <c r="G1769" s="180">
        <v>24</v>
      </c>
      <c r="H1769" s="180"/>
      <c r="I1769" s="180"/>
      <c r="J1769" s="180"/>
      <c r="K1769" s="180"/>
      <c r="L1769" s="180"/>
      <c r="M1769" s="180"/>
      <c r="N1769" s="180"/>
      <c r="O1769" s="180"/>
      <c r="P1769" s="180"/>
    </row>
    <row r="1770" spans="1:16" x14ac:dyDescent="0.45">
      <c r="A1770" s="180" t="s">
        <v>2</v>
      </c>
      <c r="B1770" s="73">
        <v>6</v>
      </c>
      <c r="C1770" s="73"/>
      <c r="D1770" s="180" t="s">
        <v>600</v>
      </c>
      <c r="E1770" s="39">
        <v>43594</v>
      </c>
      <c r="F1770" s="179">
        <v>0.37222222222222223</v>
      </c>
      <c r="G1770" s="180">
        <v>24</v>
      </c>
      <c r="H1770" s="180"/>
      <c r="I1770" s="180"/>
      <c r="J1770" s="180"/>
      <c r="K1770" s="180"/>
      <c r="L1770" s="180"/>
      <c r="M1770" s="180"/>
      <c r="N1770" s="180"/>
      <c r="O1770" s="180"/>
      <c r="P1770" s="180"/>
    </row>
    <row r="1771" spans="1:16" x14ac:dyDescent="0.45">
      <c r="A1771" s="180" t="s">
        <v>2</v>
      </c>
      <c r="B1771" s="73">
        <v>6</v>
      </c>
      <c r="C1771" s="73"/>
      <c r="D1771" s="180" t="s">
        <v>600</v>
      </c>
      <c r="E1771" s="39">
        <v>43594</v>
      </c>
      <c r="F1771" s="179">
        <v>0.37222222222222223</v>
      </c>
      <c r="G1771" s="180">
        <v>24</v>
      </c>
      <c r="H1771" s="180"/>
      <c r="I1771" s="180"/>
      <c r="J1771" s="180"/>
      <c r="K1771" s="180"/>
      <c r="L1771" s="180"/>
      <c r="M1771" s="180"/>
      <c r="N1771" s="180"/>
      <c r="O1771" s="180"/>
      <c r="P1771" s="180"/>
    </row>
    <row r="1772" spans="1:16" x14ac:dyDescent="0.45">
      <c r="A1772" s="180" t="s">
        <v>2</v>
      </c>
      <c r="B1772" s="73">
        <v>7</v>
      </c>
      <c r="C1772" s="73"/>
      <c r="D1772" s="180" t="s">
        <v>602</v>
      </c>
      <c r="E1772" s="39">
        <v>43594</v>
      </c>
      <c r="F1772" s="179">
        <v>0.5</v>
      </c>
      <c r="G1772" s="180">
        <v>1</v>
      </c>
      <c r="H1772" s="180"/>
      <c r="I1772" s="180"/>
      <c r="J1772" s="180"/>
      <c r="K1772" s="180"/>
      <c r="L1772" s="180"/>
      <c r="M1772" s="180"/>
      <c r="N1772" s="180"/>
      <c r="O1772" s="180"/>
      <c r="P1772" s="180"/>
    </row>
    <row r="1773" spans="1:16" x14ac:dyDescent="0.45">
      <c r="A1773" s="180" t="s">
        <v>2</v>
      </c>
      <c r="B1773" s="73">
        <v>12</v>
      </c>
      <c r="C1773" s="73">
        <v>12</v>
      </c>
      <c r="D1773" s="180" t="s">
        <v>600</v>
      </c>
      <c r="E1773" s="39">
        <v>43595</v>
      </c>
      <c r="F1773" s="179">
        <v>0.61249999999999993</v>
      </c>
      <c r="G1773" s="180">
        <v>2</v>
      </c>
      <c r="H1773" s="180" t="s">
        <v>612</v>
      </c>
      <c r="I1773" s="180"/>
      <c r="J1773" s="180"/>
      <c r="K1773" s="180"/>
      <c r="L1773" s="180"/>
      <c r="M1773" s="180"/>
      <c r="N1773" s="180"/>
      <c r="O1773" s="180"/>
      <c r="P1773" s="180"/>
    </row>
    <row r="1774" spans="1:16" x14ac:dyDescent="0.45">
      <c r="A1774" s="180" t="s">
        <v>2</v>
      </c>
      <c r="B1774" s="73">
        <v>8</v>
      </c>
      <c r="C1774" s="73"/>
      <c r="D1774" s="180" t="s">
        <v>600</v>
      </c>
      <c r="E1774" s="39">
        <v>43595</v>
      </c>
      <c r="F1774" s="179">
        <v>0.37361111111111112</v>
      </c>
      <c r="G1774" s="180">
        <v>24</v>
      </c>
      <c r="H1774" s="180"/>
      <c r="I1774" s="180"/>
      <c r="J1774" s="180"/>
      <c r="K1774" s="180"/>
      <c r="L1774" s="180"/>
      <c r="M1774" s="180"/>
      <c r="N1774" s="180"/>
      <c r="O1774" s="180"/>
      <c r="P1774" s="180"/>
    </row>
    <row r="1775" spans="1:16" x14ac:dyDescent="0.45">
      <c r="A1775" s="180" t="s">
        <v>2</v>
      </c>
      <c r="B1775" s="73">
        <v>12</v>
      </c>
      <c r="C1775" s="73"/>
      <c r="D1775" s="180" t="s">
        <v>600</v>
      </c>
      <c r="E1775" s="39">
        <v>43595</v>
      </c>
      <c r="F1775" s="179">
        <v>0.61249999999999993</v>
      </c>
      <c r="G1775" s="180">
        <v>2</v>
      </c>
      <c r="H1775" s="180" t="s">
        <v>612</v>
      </c>
      <c r="I1775" s="180"/>
      <c r="J1775" s="180"/>
      <c r="K1775" s="180"/>
      <c r="L1775" s="180"/>
      <c r="M1775" s="180"/>
      <c r="N1775" s="180"/>
      <c r="O1775" s="180"/>
      <c r="P1775" s="180"/>
    </row>
    <row r="1776" spans="1:16" x14ac:dyDescent="0.45">
      <c r="A1776" s="180" t="s">
        <v>2</v>
      </c>
      <c r="B1776" s="73">
        <v>8</v>
      </c>
      <c r="C1776" s="73"/>
      <c r="D1776" s="180" t="s">
        <v>600</v>
      </c>
      <c r="E1776" s="39">
        <v>43595</v>
      </c>
      <c r="F1776" s="179">
        <v>0.37361111111111112</v>
      </c>
      <c r="G1776" s="180">
        <v>24</v>
      </c>
      <c r="H1776" s="180"/>
      <c r="I1776" s="180"/>
      <c r="J1776" s="180"/>
      <c r="K1776" s="180"/>
      <c r="L1776" s="180"/>
      <c r="M1776" s="180"/>
      <c r="N1776" s="180"/>
      <c r="O1776" s="180"/>
      <c r="P1776" s="180"/>
    </row>
    <row r="1777" spans="1:16" x14ac:dyDescent="0.45">
      <c r="A1777" s="180" t="s">
        <v>2</v>
      </c>
      <c r="B1777" s="73">
        <v>8</v>
      </c>
      <c r="C1777" s="73"/>
      <c r="D1777" s="180" t="s">
        <v>600</v>
      </c>
      <c r="E1777" s="39">
        <v>43595</v>
      </c>
      <c r="F1777" s="179">
        <v>0.37361111111111112</v>
      </c>
      <c r="G1777" s="180">
        <v>24</v>
      </c>
      <c r="H1777" s="180"/>
      <c r="I1777" s="180"/>
      <c r="J1777" s="180"/>
      <c r="K1777" s="180"/>
      <c r="L1777" s="180"/>
      <c r="M1777" s="180"/>
      <c r="N1777" s="180"/>
      <c r="O1777" s="180"/>
      <c r="P1777" s="180"/>
    </row>
    <row r="1778" spans="1:16" x14ac:dyDescent="0.45">
      <c r="A1778" s="180" t="s">
        <v>2</v>
      </c>
      <c r="B1778" s="73">
        <v>8</v>
      </c>
      <c r="C1778" s="73"/>
      <c r="D1778" s="180" t="s">
        <v>600</v>
      </c>
      <c r="E1778" s="39">
        <v>43595</v>
      </c>
      <c r="F1778" s="179">
        <v>0.56666666666666665</v>
      </c>
      <c r="G1778" s="180">
        <v>3</v>
      </c>
      <c r="H1778" s="180"/>
      <c r="I1778" s="180"/>
      <c r="J1778" s="180"/>
      <c r="K1778" s="180"/>
      <c r="L1778" s="180"/>
      <c r="M1778" s="180"/>
      <c r="N1778" s="180"/>
      <c r="O1778" s="180"/>
      <c r="P1778" s="180"/>
    </row>
    <row r="1779" spans="1:16" x14ac:dyDescent="0.45">
      <c r="A1779" s="180" t="s">
        <v>2</v>
      </c>
      <c r="B1779" s="73">
        <v>8</v>
      </c>
      <c r="C1779" s="73"/>
      <c r="D1779" s="180" t="s">
        <v>600</v>
      </c>
      <c r="E1779" s="39">
        <v>43595</v>
      </c>
      <c r="F1779" s="179">
        <v>0.56666666666666665</v>
      </c>
      <c r="G1779" s="180">
        <v>3</v>
      </c>
      <c r="H1779" s="180"/>
      <c r="I1779" s="180"/>
      <c r="J1779" s="180"/>
      <c r="K1779" s="180"/>
      <c r="L1779" s="180"/>
      <c r="M1779" s="180"/>
      <c r="N1779" s="180"/>
      <c r="O1779" s="180"/>
      <c r="P1779" s="180"/>
    </row>
    <row r="1780" spans="1:16" x14ac:dyDescent="0.45">
      <c r="A1780" s="180" t="s">
        <v>2</v>
      </c>
      <c r="B1780" s="73">
        <v>8</v>
      </c>
      <c r="C1780" s="73"/>
      <c r="D1780" s="180" t="s">
        <v>600</v>
      </c>
      <c r="E1780" s="39">
        <v>43595</v>
      </c>
      <c r="F1780" s="179">
        <v>0.51111111111111118</v>
      </c>
      <c r="G1780" s="180">
        <v>1</v>
      </c>
      <c r="H1780" s="180"/>
      <c r="I1780" s="180"/>
      <c r="J1780" s="180"/>
      <c r="K1780" s="180"/>
      <c r="L1780" s="180"/>
      <c r="M1780" s="180"/>
      <c r="N1780" s="180"/>
      <c r="O1780" s="180"/>
      <c r="P1780" s="180"/>
    </row>
    <row r="1781" spans="1:16" x14ac:dyDescent="0.45">
      <c r="A1781" s="180" t="s">
        <v>2</v>
      </c>
      <c r="B1781" s="73">
        <v>8</v>
      </c>
      <c r="C1781" s="73"/>
      <c r="D1781" s="180" t="s">
        <v>600</v>
      </c>
      <c r="E1781" s="39">
        <v>43595</v>
      </c>
      <c r="F1781" s="179">
        <v>0.37361111111111112</v>
      </c>
      <c r="G1781" s="180">
        <v>24</v>
      </c>
      <c r="H1781" s="180"/>
      <c r="I1781" s="180"/>
      <c r="J1781" s="180"/>
      <c r="K1781" s="180"/>
      <c r="L1781" s="180"/>
      <c r="M1781" s="180"/>
      <c r="N1781" s="180"/>
      <c r="O1781" s="180"/>
      <c r="P1781" s="180"/>
    </row>
    <row r="1782" spans="1:16" x14ac:dyDescent="0.45">
      <c r="A1782" s="180" t="s">
        <v>2</v>
      </c>
      <c r="B1782" s="73">
        <v>8</v>
      </c>
      <c r="C1782" s="73"/>
      <c r="D1782" s="180" t="s">
        <v>600</v>
      </c>
      <c r="E1782" s="39">
        <v>43595</v>
      </c>
      <c r="F1782" s="179">
        <v>0.37361111111111112</v>
      </c>
      <c r="G1782" s="180">
        <v>24</v>
      </c>
      <c r="H1782" s="180"/>
      <c r="I1782" s="180"/>
      <c r="J1782" s="180"/>
      <c r="K1782" s="180"/>
      <c r="L1782" s="180"/>
      <c r="M1782" s="180"/>
      <c r="N1782" s="180"/>
      <c r="O1782" s="180"/>
      <c r="P1782" s="180"/>
    </row>
    <row r="1783" spans="1:16" x14ac:dyDescent="0.45">
      <c r="A1783" s="180" t="s">
        <v>2</v>
      </c>
      <c r="B1783" s="73">
        <v>8</v>
      </c>
      <c r="C1783" s="73"/>
      <c r="D1783" s="180" t="s">
        <v>600</v>
      </c>
      <c r="E1783" s="39">
        <v>43595</v>
      </c>
      <c r="F1783" s="179">
        <v>0.56666666666666665</v>
      </c>
      <c r="G1783" s="180">
        <v>3</v>
      </c>
      <c r="H1783" s="180"/>
      <c r="I1783" s="180"/>
      <c r="J1783" s="180"/>
      <c r="K1783" s="180"/>
      <c r="L1783" s="180"/>
      <c r="M1783" s="180"/>
      <c r="N1783" s="180"/>
      <c r="O1783" s="180"/>
      <c r="P1783" s="180"/>
    </row>
    <row r="1784" spans="1:16" x14ac:dyDescent="0.45">
      <c r="A1784" s="180" t="s">
        <v>2</v>
      </c>
      <c r="B1784" s="73">
        <v>1</v>
      </c>
      <c r="C1784" s="73"/>
      <c r="D1784" s="180" t="s">
        <v>600</v>
      </c>
      <c r="E1784" s="39">
        <v>43595</v>
      </c>
      <c r="F1784" s="179">
        <v>0.64583333333333337</v>
      </c>
      <c r="G1784" s="180">
        <v>4</v>
      </c>
      <c r="H1784" s="180" t="s">
        <v>623</v>
      </c>
      <c r="I1784" s="180"/>
      <c r="J1784" s="180"/>
      <c r="K1784" s="180"/>
      <c r="L1784" s="180"/>
      <c r="M1784" s="180"/>
      <c r="N1784" s="180"/>
      <c r="O1784" s="180"/>
      <c r="P1784" s="180"/>
    </row>
    <row r="1785" spans="1:16" x14ac:dyDescent="0.45">
      <c r="A1785" s="180" t="s">
        <v>2</v>
      </c>
      <c r="B1785" s="73">
        <v>5</v>
      </c>
      <c r="C1785" s="73"/>
      <c r="D1785" s="180" t="s">
        <v>600</v>
      </c>
      <c r="E1785" s="39">
        <v>43595</v>
      </c>
      <c r="F1785" s="179">
        <v>0.66180555555555554</v>
      </c>
      <c r="G1785" s="180">
        <v>3</v>
      </c>
      <c r="H1785" s="180"/>
      <c r="I1785" s="180"/>
      <c r="J1785" s="180"/>
      <c r="K1785" s="180"/>
      <c r="L1785" s="180"/>
      <c r="M1785" s="180"/>
      <c r="N1785" s="180"/>
      <c r="O1785" s="180"/>
      <c r="P1785" s="180"/>
    </row>
    <row r="1786" spans="1:16" x14ac:dyDescent="0.45">
      <c r="A1786" s="180" t="s">
        <v>2</v>
      </c>
      <c r="B1786" s="73">
        <v>8</v>
      </c>
      <c r="C1786" s="73"/>
      <c r="D1786" s="180" t="s">
        <v>600</v>
      </c>
      <c r="E1786" s="39">
        <v>43595</v>
      </c>
      <c r="F1786" s="179">
        <v>0.37361111111111112</v>
      </c>
      <c r="G1786" s="180">
        <v>24</v>
      </c>
      <c r="H1786" s="180"/>
      <c r="I1786" s="180"/>
      <c r="J1786" s="180"/>
      <c r="K1786" s="180"/>
      <c r="L1786" s="180"/>
      <c r="M1786" s="180"/>
      <c r="N1786" s="180"/>
      <c r="O1786" s="180"/>
      <c r="P1786" s="180"/>
    </row>
    <row r="1787" spans="1:16" x14ac:dyDescent="0.45">
      <c r="A1787" s="180" t="s">
        <v>2</v>
      </c>
      <c r="B1787" s="73">
        <v>6</v>
      </c>
      <c r="C1787" s="73"/>
      <c r="D1787" s="180" t="s">
        <v>602</v>
      </c>
      <c r="E1787" s="39">
        <v>43595</v>
      </c>
      <c r="F1787" s="179">
        <v>0.64861111111111114</v>
      </c>
      <c r="G1787" s="180">
        <v>3</v>
      </c>
      <c r="H1787" s="180"/>
      <c r="I1787" s="180"/>
      <c r="J1787" s="180"/>
      <c r="K1787" s="180"/>
      <c r="L1787" s="180"/>
      <c r="M1787" s="180"/>
      <c r="N1787" s="180"/>
      <c r="O1787" s="180"/>
      <c r="P1787" s="180"/>
    </row>
    <row r="1788" spans="1:16" x14ac:dyDescent="0.45">
      <c r="A1788" s="180" t="s">
        <v>2</v>
      </c>
      <c r="B1788" s="73">
        <v>5</v>
      </c>
      <c r="C1788" s="73"/>
      <c r="D1788" s="180" t="s">
        <v>602</v>
      </c>
      <c r="E1788" s="39">
        <v>43595</v>
      </c>
      <c r="F1788" s="179">
        <v>0.43472222222222223</v>
      </c>
      <c r="G1788" s="180">
        <v>1</v>
      </c>
      <c r="H1788" s="180"/>
      <c r="I1788" s="180"/>
      <c r="J1788" s="180"/>
      <c r="K1788" s="180"/>
      <c r="L1788" s="180"/>
      <c r="M1788" s="180"/>
      <c r="N1788" s="180"/>
      <c r="O1788" s="180"/>
      <c r="P1788" s="180"/>
    </row>
    <row r="1789" spans="1:16" x14ac:dyDescent="0.45">
      <c r="A1789" s="180" t="s">
        <v>2</v>
      </c>
      <c r="B1789" s="73">
        <v>8</v>
      </c>
      <c r="C1789" s="73"/>
      <c r="D1789" s="180" t="s">
        <v>624</v>
      </c>
      <c r="E1789" s="39">
        <v>43596</v>
      </c>
      <c r="F1789" s="179">
        <v>0.50486111111111109</v>
      </c>
      <c r="G1789" s="180">
        <v>1</v>
      </c>
      <c r="H1789" s="180"/>
      <c r="I1789" s="180"/>
      <c r="J1789" s="180"/>
      <c r="K1789" s="180"/>
      <c r="L1789" s="180"/>
      <c r="M1789" s="180"/>
      <c r="N1789" s="180"/>
      <c r="O1789" s="180"/>
      <c r="P1789" s="180"/>
    </row>
    <row r="1790" spans="1:16" x14ac:dyDescent="0.45">
      <c r="A1790" s="180" t="s">
        <v>2</v>
      </c>
      <c r="B1790" s="73">
        <v>8</v>
      </c>
      <c r="C1790" s="73"/>
      <c r="D1790" s="180" t="s">
        <v>624</v>
      </c>
      <c r="E1790" s="39">
        <v>43596</v>
      </c>
      <c r="F1790" s="179">
        <v>0.50486111111111109</v>
      </c>
      <c r="G1790" s="180">
        <v>1</v>
      </c>
      <c r="H1790" s="180"/>
      <c r="I1790" s="180"/>
      <c r="J1790" s="180"/>
      <c r="K1790" s="180"/>
      <c r="L1790" s="180"/>
      <c r="M1790" s="180"/>
      <c r="N1790" s="180"/>
      <c r="O1790" s="180"/>
      <c r="P1790" s="180"/>
    </row>
    <row r="1791" spans="1:16" x14ac:dyDescent="0.45">
      <c r="A1791" s="180" t="s">
        <v>2</v>
      </c>
      <c r="B1791" s="73">
        <v>6</v>
      </c>
      <c r="C1791" s="73"/>
      <c r="D1791" s="180" t="s">
        <v>600</v>
      </c>
      <c r="E1791" s="39">
        <v>43596</v>
      </c>
      <c r="F1791" s="179">
        <v>0.38194444444444442</v>
      </c>
      <c r="G1791" s="180">
        <v>2</v>
      </c>
      <c r="H1791" s="180"/>
      <c r="I1791" s="180"/>
      <c r="J1791" s="180"/>
      <c r="K1791" s="180"/>
      <c r="L1791" s="180"/>
      <c r="M1791" s="180"/>
      <c r="N1791" s="180"/>
      <c r="O1791" s="180"/>
      <c r="P1791" s="180"/>
    </row>
    <row r="1792" spans="1:16" x14ac:dyDescent="0.45">
      <c r="A1792" s="180" t="s">
        <v>2</v>
      </c>
      <c r="B1792" s="73">
        <v>5</v>
      </c>
      <c r="C1792" s="73"/>
      <c r="D1792" s="180" t="s">
        <v>600</v>
      </c>
      <c r="E1792" s="39">
        <v>43596</v>
      </c>
      <c r="F1792" s="179">
        <v>0.28125</v>
      </c>
      <c r="G1792" s="180">
        <v>2</v>
      </c>
      <c r="H1792" s="180" t="s">
        <v>613</v>
      </c>
      <c r="I1792" s="180"/>
      <c r="J1792" s="180"/>
      <c r="K1792" s="180"/>
      <c r="L1792" s="180"/>
      <c r="M1792" s="180"/>
      <c r="N1792" s="180"/>
      <c r="O1792" s="180"/>
      <c r="P1792" s="180"/>
    </row>
    <row r="1793" spans="1:16" x14ac:dyDescent="0.45">
      <c r="A1793" s="180" t="s">
        <v>2</v>
      </c>
      <c r="B1793" s="73">
        <v>5</v>
      </c>
      <c r="C1793" s="73"/>
      <c r="D1793" s="180" t="s">
        <v>600</v>
      </c>
      <c r="E1793" s="39">
        <v>43596</v>
      </c>
      <c r="F1793" s="179">
        <v>0.44166666666666665</v>
      </c>
      <c r="G1793" s="180">
        <v>20</v>
      </c>
      <c r="H1793" s="180"/>
      <c r="I1793" s="180"/>
      <c r="J1793" s="180"/>
      <c r="K1793" s="180"/>
      <c r="L1793" s="180"/>
      <c r="M1793" s="180"/>
      <c r="N1793" s="180"/>
      <c r="O1793" s="180"/>
      <c r="P1793" s="180"/>
    </row>
    <row r="1794" spans="1:16" x14ac:dyDescent="0.45">
      <c r="A1794" s="180" t="s">
        <v>2</v>
      </c>
      <c r="B1794" s="73">
        <v>3</v>
      </c>
      <c r="C1794" s="73"/>
      <c r="D1794" s="180" t="s">
        <v>600</v>
      </c>
      <c r="E1794" s="39">
        <v>43596</v>
      </c>
      <c r="F1794" s="179">
        <v>0.4458333333333333</v>
      </c>
      <c r="G1794" s="180">
        <v>1</v>
      </c>
      <c r="H1794" s="180"/>
      <c r="I1794" s="180"/>
      <c r="J1794" s="180"/>
      <c r="K1794" s="180"/>
      <c r="L1794" s="180"/>
      <c r="M1794" s="180"/>
      <c r="N1794" s="180"/>
      <c r="O1794" s="180"/>
      <c r="P1794" s="180"/>
    </row>
    <row r="1795" spans="1:16" x14ac:dyDescent="0.45">
      <c r="A1795" s="180" t="s">
        <v>2</v>
      </c>
      <c r="B1795" s="73">
        <v>6</v>
      </c>
      <c r="C1795" s="73"/>
      <c r="D1795" s="180" t="s">
        <v>600</v>
      </c>
      <c r="E1795" s="39">
        <v>43596</v>
      </c>
      <c r="F1795" s="179">
        <v>0.38055555555555554</v>
      </c>
      <c r="G1795" s="180">
        <v>20</v>
      </c>
      <c r="H1795" s="180" t="s">
        <v>604</v>
      </c>
      <c r="I1795" s="180"/>
      <c r="J1795" s="180"/>
      <c r="K1795" s="180"/>
      <c r="L1795" s="180"/>
      <c r="M1795" s="180"/>
      <c r="N1795" s="180"/>
      <c r="O1795" s="180"/>
      <c r="P1795" s="180"/>
    </row>
    <row r="1796" spans="1:16" x14ac:dyDescent="0.45">
      <c r="A1796" s="180" t="s">
        <v>2</v>
      </c>
      <c r="B1796" s="73">
        <v>1</v>
      </c>
      <c r="C1796" s="73"/>
      <c r="D1796" s="180" t="s">
        <v>600</v>
      </c>
      <c r="E1796" s="39">
        <v>43596</v>
      </c>
      <c r="F1796" s="179">
        <v>0.59861111111111109</v>
      </c>
      <c r="G1796" s="180">
        <v>1</v>
      </c>
      <c r="H1796" s="180"/>
      <c r="I1796" s="180"/>
      <c r="J1796" s="180"/>
      <c r="K1796" s="180"/>
      <c r="L1796" s="180"/>
      <c r="M1796" s="180"/>
      <c r="N1796" s="180"/>
      <c r="O1796" s="180"/>
      <c r="P1796" s="180"/>
    </row>
    <row r="1797" spans="1:16" x14ac:dyDescent="0.45">
      <c r="A1797" s="180" t="s">
        <v>2</v>
      </c>
      <c r="B1797" s="73">
        <v>10</v>
      </c>
      <c r="C1797" s="73">
        <v>10</v>
      </c>
      <c r="D1797" s="180" t="s">
        <v>602</v>
      </c>
      <c r="E1797" s="39">
        <v>43596</v>
      </c>
      <c r="F1797" s="179">
        <v>0.33749999999999997</v>
      </c>
      <c r="G1797" s="180">
        <v>1</v>
      </c>
      <c r="H1797" s="180"/>
      <c r="I1797" s="180"/>
      <c r="J1797" s="180"/>
      <c r="K1797" s="180"/>
      <c r="L1797" s="180"/>
      <c r="M1797" s="180"/>
      <c r="N1797" s="180"/>
      <c r="O1797" s="180"/>
      <c r="P1797" s="180"/>
    </row>
    <row r="1798" spans="1:16" x14ac:dyDescent="0.45">
      <c r="A1798" s="180" t="s">
        <v>2</v>
      </c>
      <c r="B1798" s="73">
        <v>1</v>
      </c>
      <c r="C1798" s="73"/>
      <c r="D1798" s="180" t="s">
        <v>602</v>
      </c>
      <c r="E1798" s="39">
        <v>43596</v>
      </c>
      <c r="F1798" s="179">
        <v>0.6875</v>
      </c>
      <c r="G1798" s="180">
        <v>2</v>
      </c>
      <c r="H1798" s="180"/>
      <c r="I1798" s="180"/>
      <c r="J1798" s="180"/>
      <c r="K1798" s="180"/>
      <c r="L1798" s="180"/>
      <c r="M1798" s="180"/>
      <c r="N1798" s="180"/>
      <c r="O1798" s="180"/>
      <c r="P1798" s="180"/>
    </row>
    <row r="1799" spans="1:16" x14ac:dyDescent="0.45">
      <c r="A1799" s="180" t="s">
        <v>2</v>
      </c>
      <c r="B1799" s="73">
        <v>10</v>
      </c>
      <c r="C1799" s="73"/>
      <c r="D1799" s="180" t="s">
        <v>602</v>
      </c>
      <c r="E1799" s="39">
        <v>43596</v>
      </c>
      <c r="F1799" s="179">
        <v>0.33749999999999997</v>
      </c>
      <c r="G1799" s="180">
        <v>1</v>
      </c>
      <c r="H1799" s="180"/>
      <c r="I1799" s="180"/>
      <c r="J1799" s="180"/>
      <c r="K1799" s="180"/>
      <c r="L1799" s="180"/>
      <c r="M1799" s="180"/>
      <c r="N1799" s="180"/>
      <c r="O1799" s="180"/>
      <c r="P1799" s="180"/>
    </row>
    <row r="1800" spans="1:16" x14ac:dyDescent="0.45">
      <c r="A1800" s="180" t="s">
        <v>2</v>
      </c>
      <c r="B1800" s="73">
        <v>5</v>
      </c>
      <c r="C1800" s="73"/>
      <c r="D1800" s="180" t="s">
        <v>602</v>
      </c>
      <c r="E1800" s="39">
        <v>43596</v>
      </c>
      <c r="F1800" s="179">
        <v>0.33333333333333331</v>
      </c>
      <c r="G1800" s="180">
        <v>2</v>
      </c>
      <c r="H1800" s="180"/>
      <c r="I1800" s="180"/>
      <c r="J1800" s="180"/>
      <c r="K1800" s="180"/>
      <c r="L1800" s="180"/>
      <c r="M1800" s="180"/>
      <c r="N1800" s="180"/>
      <c r="O1800" s="180"/>
      <c r="P1800" s="180"/>
    </row>
    <row r="1801" spans="1:16" x14ac:dyDescent="0.45">
      <c r="A1801" s="180" t="s">
        <v>2</v>
      </c>
      <c r="B1801" s="73">
        <v>1</v>
      </c>
      <c r="C1801" s="73"/>
      <c r="D1801" s="180" t="s">
        <v>625</v>
      </c>
      <c r="E1801" s="39">
        <v>43597</v>
      </c>
      <c r="F1801" s="179">
        <v>0.43958333333333338</v>
      </c>
      <c r="G1801" s="180">
        <v>2</v>
      </c>
      <c r="H1801" s="180"/>
      <c r="I1801" s="180"/>
      <c r="J1801" s="180"/>
      <c r="K1801" s="180"/>
      <c r="L1801" s="180"/>
      <c r="M1801" s="180"/>
      <c r="N1801" s="180"/>
      <c r="O1801" s="180"/>
      <c r="P1801" s="180"/>
    </row>
    <row r="1802" spans="1:16" x14ac:dyDescent="0.45">
      <c r="A1802" s="180" t="s">
        <v>2</v>
      </c>
      <c r="B1802" s="73">
        <v>1</v>
      </c>
      <c r="C1802" s="73"/>
      <c r="D1802" s="180" t="s">
        <v>600</v>
      </c>
      <c r="E1802" s="39">
        <v>43597</v>
      </c>
      <c r="F1802" s="179">
        <v>0.4375</v>
      </c>
      <c r="G1802" s="180">
        <v>12</v>
      </c>
      <c r="H1802" s="180" t="s">
        <v>615</v>
      </c>
      <c r="I1802" s="180"/>
      <c r="J1802" s="180"/>
      <c r="K1802" s="180"/>
      <c r="L1802" s="180"/>
      <c r="M1802" s="180"/>
      <c r="N1802" s="180"/>
      <c r="O1802" s="180"/>
      <c r="P1802" s="180"/>
    </row>
    <row r="1803" spans="1:16" x14ac:dyDescent="0.45">
      <c r="A1803" s="180" t="s">
        <v>2</v>
      </c>
      <c r="B1803" s="73">
        <v>3</v>
      </c>
      <c r="C1803" s="73">
        <v>3</v>
      </c>
      <c r="D1803" s="180" t="s">
        <v>600</v>
      </c>
      <c r="E1803" s="39">
        <v>43597</v>
      </c>
      <c r="F1803" s="179">
        <v>0.45763888888888887</v>
      </c>
      <c r="G1803" s="180">
        <v>3</v>
      </c>
      <c r="H1803" s="180"/>
      <c r="I1803" s="180"/>
      <c r="J1803" s="180"/>
      <c r="K1803" s="180"/>
      <c r="L1803" s="180"/>
      <c r="M1803" s="180"/>
      <c r="N1803" s="180"/>
      <c r="O1803" s="180"/>
      <c r="P1803" s="180"/>
    </row>
    <row r="1804" spans="1:16" x14ac:dyDescent="0.45">
      <c r="A1804" s="180" t="s">
        <v>2</v>
      </c>
      <c r="B1804" s="73">
        <v>2</v>
      </c>
      <c r="C1804" s="73"/>
      <c r="D1804" s="180" t="s">
        <v>600</v>
      </c>
      <c r="E1804" s="39">
        <v>43597</v>
      </c>
      <c r="F1804" s="179">
        <v>0.28819444444444448</v>
      </c>
      <c r="G1804" s="180">
        <v>6</v>
      </c>
      <c r="H1804" s="180" t="s">
        <v>609</v>
      </c>
      <c r="I1804" s="180"/>
      <c r="J1804" s="180"/>
      <c r="K1804" s="180"/>
      <c r="L1804" s="180"/>
      <c r="M1804" s="180"/>
      <c r="N1804" s="180"/>
      <c r="O1804" s="180"/>
      <c r="P1804" s="180"/>
    </row>
    <row r="1805" spans="1:16" x14ac:dyDescent="0.45">
      <c r="A1805" s="180" t="s">
        <v>2</v>
      </c>
      <c r="B1805" s="73">
        <v>3</v>
      </c>
      <c r="C1805" s="73"/>
      <c r="D1805" s="180" t="s">
        <v>600</v>
      </c>
      <c r="E1805" s="39">
        <v>43597</v>
      </c>
      <c r="F1805" s="179">
        <v>0.45833333333333331</v>
      </c>
      <c r="G1805" s="180">
        <v>3</v>
      </c>
      <c r="H1805" s="180"/>
      <c r="I1805" s="180"/>
      <c r="J1805" s="180"/>
      <c r="K1805" s="180"/>
      <c r="L1805" s="180"/>
      <c r="M1805" s="180"/>
      <c r="N1805" s="180"/>
      <c r="O1805" s="180"/>
      <c r="P1805" s="180"/>
    </row>
    <row r="1806" spans="1:16" x14ac:dyDescent="0.45">
      <c r="A1806" s="180" t="s">
        <v>2</v>
      </c>
      <c r="B1806" s="73">
        <v>1</v>
      </c>
      <c r="C1806" s="73"/>
      <c r="D1806" s="180" t="s">
        <v>626</v>
      </c>
      <c r="E1806" s="39">
        <v>43597</v>
      </c>
      <c r="F1806" s="179">
        <v>0.4548611111111111</v>
      </c>
      <c r="G1806" s="180">
        <v>2</v>
      </c>
      <c r="H1806" s="180"/>
      <c r="I1806" s="180"/>
      <c r="J1806" s="180"/>
      <c r="K1806" s="180"/>
      <c r="L1806" s="180"/>
      <c r="M1806" s="180"/>
      <c r="N1806" s="180"/>
      <c r="O1806" s="180"/>
      <c r="P1806" s="180"/>
    </row>
    <row r="1807" spans="1:16" x14ac:dyDescent="0.45">
      <c r="A1807" s="180" t="s">
        <v>2</v>
      </c>
      <c r="B1807" s="73">
        <v>3</v>
      </c>
      <c r="C1807" s="73"/>
      <c r="D1807" s="180" t="s">
        <v>602</v>
      </c>
      <c r="E1807" s="39">
        <v>43597</v>
      </c>
      <c r="F1807" s="179">
        <v>0.49027777777777781</v>
      </c>
      <c r="G1807" s="180">
        <v>9</v>
      </c>
      <c r="H1807" s="180" t="s">
        <v>616</v>
      </c>
      <c r="I1807" s="180"/>
      <c r="J1807" s="180"/>
      <c r="K1807" s="180"/>
      <c r="L1807" s="180"/>
      <c r="M1807" s="180"/>
      <c r="N1807" s="180"/>
      <c r="O1807" s="180"/>
      <c r="P1807" s="180"/>
    </row>
    <row r="1808" spans="1:16" x14ac:dyDescent="0.45">
      <c r="A1808" s="180" t="s">
        <v>2</v>
      </c>
      <c r="B1808" s="73">
        <v>2</v>
      </c>
      <c r="C1808" s="73">
        <v>2</v>
      </c>
      <c r="D1808" s="180" t="s">
        <v>600</v>
      </c>
      <c r="E1808" s="39">
        <v>43598</v>
      </c>
      <c r="F1808" s="179">
        <v>0.45555555555555555</v>
      </c>
      <c r="G1808" s="180">
        <v>3</v>
      </c>
      <c r="H1808" s="180" t="s">
        <v>627</v>
      </c>
      <c r="I1808" s="180"/>
      <c r="J1808" s="180"/>
      <c r="K1808" s="180"/>
      <c r="L1808" s="180"/>
      <c r="M1808" s="180"/>
      <c r="N1808" s="180"/>
      <c r="O1808" s="180"/>
      <c r="P1808" s="180"/>
    </row>
    <row r="1809" spans="1:16" x14ac:dyDescent="0.45">
      <c r="A1809" s="180" t="s">
        <v>2</v>
      </c>
      <c r="B1809" s="73">
        <v>2</v>
      </c>
      <c r="C1809" s="73"/>
      <c r="D1809" s="180" t="s">
        <v>600</v>
      </c>
      <c r="E1809" s="39">
        <v>43598</v>
      </c>
      <c r="F1809" s="179">
        <v>0.45555555555555555</v>
      </c>
      <c r="G1809" s="180">
        <v>3</v>
      </c>
      <c r="H1809" s="180" t="s">
        <v>627</v>
      </c>
      <c r="I1809" s="180"/>
      <c r="J1809" s="180"/>
      <c r="K1809" s="180"/>
      <c r="L1809" s="180"/>
      <c r="M1809" s="180"/>
      <c r="N1809" s="180"/>
      <c r="O1809" s="180"/>
      <c r="P1809" s="180"/>
    </row>
    <row r="1810" spans="1:16" x14ac:dyDescent="0.45">
      <c r="A1810" s="180" t="s">
        <v>2</v>
      </c>
      <c r="B1810" s="73">
        <v>2</v>
      </c>
      <c r="C1810" s="73">
        <v>2</v>
      </c>
      <c r="D1810" s="180" t="s">
        <v>618</v>
      </c>
      <c r="E1810" s="39">
        <v>43599</v>
      </c>
      <c r="F1810" s="179">
        <v>0.59375</v>
      </c>
      <c r="G1810" s="180">
        <v>2</v>
      </c>
      <c r="H1810" s="180"/>
      <c r="I1810" s="180"/>
      <c r="J1810" s="180"/>
      <c r="K1810" s="180"/>
      <c r="L1810" s="180"/>
      <c r="M1810" s="180"/>
      <c r="N1810" s="180"/>
      <c r="O1810" s="180"/>
      <c r="P1810" s="180"/>
    </row>
    <row r="1811" spans="1:16" x14ac:dyDescent="0.45">
      <c r="A1811" s="180" t="s">
        <v>2</v>
      </c>
      <c r="B1811" s="73">
        <v>2</v>
      </c>
      <c r="C1811" s="73"/>
      <c r="D1811" s="180" t="s">
        <v>618</v>
      </c>
      <c r="E1811" s="39">
        <v>43599</v>
      </c>
      <c r="F1811" s="179">
        <v>0.59375</v>
      </c>
      <c r="G1811" s="180">
        <v>2</v>
      </c>
      <c r="H1811" s="180"/>
      <c r="I1811" s="180"/>
      <c r="J1811" s="180"/>
      <c r="K1811" s="180"/>
      <c r="L1811" s="180"/>
      <c r="M1811" s="180"/>
      <c r="N1811" s="180"/>
      <c r="O1811" s="180"/>
      <c r="P1811" s="180"/>
    </row>
    <row r="1812" spans="1:16" x14ac:dyDescent="0.45">
      <c r="A1812" s="180" t="s">
        <v>2</v>
      </c>
      <c r="B1812" s="73">
        <v>1</v>
      </c>
      <c r="C1812" s="73">
        <v>1</v>
      </c>
      <c r="D1812" s="180" t="s">
        <v>600</v>
      </c>
      <c r="E1812" s="39">
        <v>43600</v>
      </c>
      <c r="F1812" s="179">
        <v>0.68055555555555547</v>
      </c>
      <c r="G1812" s="180">
        <v>2</v>
      </c>
      <c r="H1812" s="180" t="s">
        <v>405</v>
      </c>
      <c r="I1812" s="180"/>
      <c r="J1812" s="180"/>
      <c r="K1812" s="180"/>
      <c r="L1812" s="180"/>
      <c r="M1812" s="180"/>
      <c r="N1812" s="180"/>
      <c r="O1812" s="180"/>
      <c r="P1812" s="180"/>
    </row>
    <row r="1813" spans="1:16" x14ac:dyDescent="0.45">
      <c r="A1813" s="180" t="s">
        <v>2</v>
      </c>
      <c r="B1813" s="73">
        <v>2</v>
      </c>
      <c r="C1813" s="73">
        <v>2</v>
      </c>
      <c r="D1813" s="180" t="s">
        <v>618</v>
      </c>
      <c r="E1813" s="39">
        <v>43601</v>
      </c>
      <c r="F1813" s="179">
        <v>0.5131944444444444</v>
      </c>
      <c r="G1813" s="180">
        <v>1</v>
      </c>
      <c r="H1813" s="180"/>
      <c r="I1813" s="180"/>
      <c r="J1813" s="180"/>
      <c r="K1813" s="180"/>
      <c r="L1813" s="180"/>
      <c r="M1813" s="180"/>
      <c r="N1813" s="180"/>
      <c r="O1813" s="180"/>
      <c r="P1813" s="180"/>
    </row>
    <row r="1814" spans="1:16" x14ac:dyDescent="0.45">
      <c r="A1814" s="180" t="s">
        <v>2</v>
      </c>
      <c r="B1814" s="73">
        <v>1</v>
      </c>
      <c r="C1814" s="73">
        <v>1</v>
      </c>
      <c r="D1814" s="180" t="s">
        <v>600</v>
      </c>
      <c r="E1814" s="39">
        <v>43603</v>
      </c>
      <c r="F1814" s="179">
        <v>0.70277777777777783</v>
      </c>
      <c r="G1814" s="180">
        <v>5</v>
      </c>
      <c r="H1814" s="180" t="s">
        <v>628</v>
      </c>
      <c r="I1814" s="180"/>
      <c r="J1814" s="180"/>
      <c r="K1814" s="180"/>
      <c r="L1814" s="180"/>
      <c r="M1814" s="180"/>
      <c r="N1814" s="180"/>
      <c r="O1814" s="180"/>
      <c r="P1814" s="180"/>
    </row>
    <row r="1815" spans="1:16" x14ac:dyDescent="0.45">
      <c r="A1815" s="180" t="s">
        <v>2</v>
      </c>
      <c r="B1815" s="73">
        <v>1</v>
      </c>
      <c r="C1815" s="73"/>
      <c r="D1815" s="180" t="s">
        <v>600</v>
      </c>
      <c r="E1815" s="39">
        <v>43603</v>
      </c>
      <c r="F1815" s="179">
        <v>0.70277777777777783</v>
      </c>
      <c r="G1815" s="180">
        <v>5</v>
      </c>
      <c r="H1815" s="180" t="s">
        <v>628</v>
      </c>
      <c r="I1815" s="180"/>
      <c r="J1815" s="180"/>
      <c r="K1815" s="180"/>
      <c r="L1815" s="180"/>
      <c r="M1815" s="180"/>
      <c r="N1815" s="180"/>
      <c r="O1815" s="180"/>
      <c r="P1815" s="180"/>
    </row>
    <row r="1816" spans="1:16" x14ac:dyDescent="0.45">
      <c r="A1816" s="1" t="s">
        <v>273</v>
      </c>
      <c r="B1816" s="73"/>
      <c r="C1816" s="73">
        <f>SUM(C1755:C1815)</f>
        <v>56</v>
      </c>
      <c r="D1816" s="180"/>
      <c r="E1816" s="39"/>
      <c r="F1816" s="179"/>
      <c r="G1816" s="180"/>
      <c r="H1816" s="180"/>
      <c r="I1816" s="180"/>
      <c r="J1816" s="180"/>
      <c r="K1816" s="180"/>
      <c r="L1816" s="180"/>
      <c r="M1816" s="180"/>
      <c r="N1816" s="180"/>
      <c r="O1816" s="180"/>
      <c r="P1816" s="180"/>
    </row>
    <row r="1817" spans="1:16" x14ac:dyDescent="0.45">
      <c r="A1817" s="1"/>
      <c r="B1817" s="73"/>
      <c r="C1817" s="73"/>
      <c r="D1817" s="180"/>
      <c r="E1817" s="39"/>
      <c r="F1817" s="179"/>
      <c r="G1817" s="180"/>
      <c r="H1817" s="180"/>
      <c r="I1817" s="180"/>
      <c r="J1817" s="180"/>
      <c r="K1817" s="180"/>
      <c r="L1817" s="180"/>
      <c r="M1817" s="180"/>
      <c r="N1817" s="180"/>
      <c r="O1817" s="180"/>
      <c r="P1817" s="180"/>
    </row>
    <row r="1818" spans="1:16" x14ac:dyDescent="0.45">
      <c r="A1818" s="180" t="s">
        <v>14</v>
      </c>
      <c r="B1818" s="73">
        <v>2</v>
      </c>
      <c r="C1818" s="73">
        <v>2</v>
      </c>
      <c r="D1818" s="180" t="s">
        <v>600</v>
      </c>
      <c r="E1818" s="39">
        <v>43592</v>
      </c>
      <c r="F1818" s="179">
        <v>0.60416666666666663</v>
      </c>
      <c r="G1818" s="180">
        <v>1</v>
      </c>
      <c r="H1818" s="180"/>
      <c r="I1818" s="180"/>
      <c r="J1818" s="180"/>
      <c r="K1818" s="180"/>
      <c r="L1818" s="180"/>
      <c r="M1818" s="180"/>
      <c r="N1818" s="180"/>
      <c r="O1818" s="180"/>
      <c r="P1818" s="180"/>
    </row>
    <row r="1819" spans="1:16" x14ac:dyDescent="0.45">
      <c r="A1819" s="180" t="s">
        <v>14</v>
      </c>
      <c r="B1819" s="73">
        <v>3</v>
      </c>
      <c r="C1819" s="73">
        <v>3</v>
      </c>
      <c r="D1819" s="180" t="s">
        <v>600</v>
      </c>
      <c r="E1819" s="39">
        <v>43593</v>
      </c>
      <c r="F1819" s="179">
        <v>0.79652777777777783</v>
      </c>
      <c r="G1819" s="180">
        <v>1</v>
      </c>
      <c r="H1819" s="180"/>
      <c r="I1819" s="180"/>
      <c r="J1819" s="180"/>
      <c r="K1819" s="180"/>
      <c r="L1819" s="180"/>
      <c r="M1819" s="180"/>
      <c r="N1819" s="180"/>
      <c r="O1819" s="180"/>
      <c r="P1819" s="180"/>
    </row>
    <row r="1820" spans="1:16" x14ac:dyDescent="0.45">
      <c r="A1820" s="180" t="s">
        <v>14</v>
      </c>
      <c r="B1820" s="73">
        <v>3</v>
      </c>
      <c r="C1820" s="73"/>
      <c r="D1820" s="180" t="s">
        <v>602</v>
      </c>
      <c r="E1820" s="39">
        <v>43593</v>
      </c>
      <c r="F1820" s="179">
        <v>0.80208333333333337</v>
      </c>
      <c r="G1820" s="180">
        <v>9</v>
      </c>
      <c r="H1820" s="180" t="s">
        <v>622</v>
      </c>
      <c r="I1820" s="180"/>
      <c r="J1820" s="180"/>
      <c r="K1820" s="180"/>
      <c r="L1820" s="180"/>
      <c r="M1820" s="180"/>
      <c r="N1820" s="180"/>
      <c r="O1820" s="180"/>
      <c r="P1820" s="180"/>
    </row>
    <row r="1821" spans="1:16" x14ac:dyDescent="0.45">
      <c r="A1821" s="180" t="s">
        <v>14</v>
      </c>
      <c r="B1821" s="73">
        <v>2</v>
      </c>
      <c r="C1821" s="73">
        <v>2</v>
      </c>
      <c r="D1821" s="180" t="s">
        <v>600</v>
      </c>
      <c r="E1821" s="39">
        <v>43594</v>
      </c>
      <c r="F1821" s="179">
        <v>0.37222222222222223</v>
      </c>
      <c r="G1821" s="180">
        <v>24</v>
      </c>
      <c r="H1821" s="180"/>
      <c r="I1821" s="180"/>
      <c r="J1821" s="180"/>
      <c r="K1821" s="180"/>
      <c r="L1821" s="180"/>
      <c r="M1821" s="180"/>
      <c r="N1821" s="180"/>
      <c r="O1821" s="180"/>
      <c r="P1821" s="180"/>
    </row>
    <row r="1822" spans="1:16" x14ac:dyDescent="0.45">
      <c r="A1822" s="180" t="s">
        <v>14</v>
      </c>
      <c r="B1822" s="73">
        <v>2</v>
      </c>
      <c r="C1822" s="73"/>
      <c r="D1822" s="180" t="s">
        <v>600</v>
      </c>
      <c r="E1822" s="39">
        <v>43594</v>
      </c>
      <c r="F1822" s="179">
        <v>0.37222222222222223</v>
      </c>
      <c r="G1822" s="180">
        <v>24</v>
      </c>
      <c r="H1822" s="180"/>
      <c r="I1822" s="180"/>
      <c r="J1822" s="180"/>
      <c r="K1822" s="180"/>
      <c r="L1822" s="180"/>
      <c r="M1822" s="180"/>
      <c r="N1822" s="180"/>
      <c r="O1822" s="180"/>
      <c r="P1822" s="180"/>
    </row>
    <row r="1823" spans="1:16" x14ac:dyDescent="0.45">
      <c r="A1823" s="180" t="s">
        <v>14</v>
      </c>
      <c r="B1823" s="73">
        <v>2</v>
      </c>
      <c r="C1823" s="73"/>
      <c r="D1823" s="180" t="s">
        <v>600</v>
      </c>
      <c r="E1823" s="39">
        <v>43594</v>
      </c>
      <c r="F1823" s="179">
        <v>0.37222222222222223</v>
      </c>
      <c r="G1823" s="180">
        <v>24</v>
      </c>
      <c r="H1823" s="180"/>
      <c r="I1823" s="180"/>
      <c r="J1823" s="180"/>
      <c r="K1823" s="180"/>
      <c r="L1823" s="180"/>
      <c r="M1823" s="180"/>
      <c r="N1823" s="180"/>
      <c r="O1823" s="180"/>
      <c r="P1823" s="180"/>
    </row>
    <row r="1824" spans="1:16" x14ac:dyDescent="0.45">
      <c r="A1824" s="180" t="s">
        <v>14</v>
      </c>
      <c r="B1824" s="73">
        <v>2</v>
      </c>
      <c r="C1824" s="73"/>
      <c r="D1824" s="180" t="s">
        <v>600</v>
      </c>
      <c r="E1824" s="39">
        <v>43594</v>
      </c>
      <c r="F1824" s="179">
        <v>0.37222222222222223</v>
      </c>
      <c r="G1824" s="180">
        <v>24</v>
      </c>
      <c r="H1824" s="180"/>
      <c r="I1824" s="180"/>
      <c r="J1824" s="180"/>
      <c r="K1824" s="180"/>
      <c r="L1824" s="180"/>
      <c r="M1824" s="180"/>
      <c r="N1824" s="180"/>
      <c r="O1824" s="180"/>
      <c r="P1824" s="180"/>
    </row>
    <row r="1825" spans="1:16" x14ac:dyDescent="0.45">
      <c r="A1825" s="180" t="s">
        <v>14</v>
      </c>
      <c r="B1825" s="73">
        <v>2</v>
      </c>
      <c r="C1825" s="73"/>
      <c r="D1825" s="180" t="s">
        <v>600</v>
      </c>
      <c r="E1825" s="39">
        <v>43594</v>
      </c>
      <c r="F1825" s="179">
        <v>0.37222222222222223</v>
      </c>
      <c r="G1825" s="180">
        <v>24</v>
      </c>
      <c r="H1825" s="180"/>
      <c r="I1825" s="180"/>
      <c r="J1825" s="180"/>
      <c r="K1825" s="180"/>
      <c r="L1825" s="180"/>
      <c r="M1825" s="180"/>
      <c r="N1825" s="180"/>
      <c r="O1825" s="180"/>
      <c r="P1825" s="180"/>
    </row>
    <row r="1826" spans="1:16" x14ac:dyDescent="0.45">
      <c r="A1826" s="180" t="s">
        <v>14</v>
      </c>
      <c r="B1826" s="73">
        <v>2</v>
      </c>
      <c r="C1826" s="73"/>
      <c r="D1826" s="180" t="s">
        <v>600</v>
      </c>
      <c r="E1826" s="39">
        <v>43594</v>
      </c>
      <c r="F1826" s="179">
        <v>0.37222222222222223</v>
      </c>
      <c r="G1826" s="180">
        <v>24</v>
      </c>
      <c r="H1826" s="180"/>
      <c r="I1826" s="180"/>
      <c r="J1826" s="180"/>
      <c r="K1826" s="180"/>
      <c r="L1826" s="180"/>
      <c r="M1826" s="180"/>
      <c r="N1826" s="180"/>
      <c r="O1826" s="180"/>
      <c r="P1826" s="180"/>
    </row>
    <row r="1827" spans="1:16" x14ac:dyDescent="0.45">
      <c r="A1827" s="180" t="s">
        <v>14</v>
      </c>
      <c r="B1827" s="73">
        <v>4</v>
      </c>
      <c r="C1827" s="73"/>
      <c r="D1827" s="180" t="s">
        <v>600</v>
      </c>
      <c r="E1827" s="39">
        <v>43595</v>
      </c>
      <c r="F1827" s="179">
        <v>0.37361111111111112</v>
      </c>
      <c r="G1827" s="180">
        <v>24</v>
      </c>
      <c r="H1827" s="180"/>
      <c r="I1827" s="180"/>
      <c r="J1827" s="180"/>
      <c r="K1827" s="180"/>
      <c r="L1827" s="180"/>
      <c r="M1827" s="180"/>
      <c r="N1827" s="180"/>
      <c r="O1827" s="180"/>
      <c r="P1827" s="180"/>
    </row>
    <row r="1828" spans="1:16" x14ac:dyDescent="0.45">
      <c r="A1828" s="180" t="s">
        <v>14</v>
      </c>
      <c r="B1828" s="73">
        <v>1</v>
      </c>
      <c r="C1828" s="73"/>
      <c r="D1828" s="180" t="s">
        <v>600</v>
      </c>
      <c r="E1828" s="39">
        <v>43595</v>
      </c>
      <c r="F1828" s="179">
        <v>0.66180555555555554</v>
      </c>
      <c r="G1828" s="180">
        <v>3</v>
      </c>
      <c r="H1828" s="180"/>
      <c r="I1828" s="180"/>
      <c r="J1828" s="180"/>
      <c r="K1828" s="180"/>
      <c r="L1828" s="180"/>
      <c r="M1828" s="180"/>
      <c r="N1828" s="180"/>
      <c r="O1828" s="180"/>
      <c r="P1828" s="180"/>
    </row>
    <row r="1829" spans="1:16" x14ac:dyDescent="0.45">
      <c r="A1829" s="180" t="s">
        <v>14</v>
      </c>
      <c r="B1829" s="73">
        <v>60</v>
      </c>
      <c r="C1829" s="73">
        <v>60</v>
      </c>
      <c r="D1829" s="180" t="s">
        <v>600</v>
      </c>
      <c r="E1829" s="39">
        <v>43595</v>
      </c>
      <c r="F1829" s="179">
        <v>0.61249999999999993</v>
      </c>
      <c r="G1829" s="180">
        <v>2</v>
      </c>
      <c r="H1829" s="180" t="s">
        <v>612</v>
      </c>
      <c r="I1829" s="180"/>
      <c r="J1829" s="180"/>
      <c r="K1829" s="180"/>
      <c r="L1829" s="180"/>
      <c r="M1829" s="180"/>
      <c r="N1829" s="180"/>
      <c r="O1829" s="180"/>
      <c r="P1829" s="180"/>
    </row>
    <row r="1830" spans="1:16" x14ac:dyDescent="0.45">
      <c r="A1830" s="180" t="s">
        <v>14</v>
      </c>
      <c r="B1830" s="73">
        <v>4</v>
      </c>
      <c r="C1830" s="73"/>
      <c r="D1830" s="180" t="s">
        <v>600</v>
      </c>
      <c r="E1830" s="39">
        <v>43595</v>
      </c>
      <c r="F1830" s="179">
        <v>0.37361111111111112</v>
      </c>
      <c r="G1830" s="180">
        <v>24</v>
      </c>
      <c r="H1830" s="180"/>
      <c r="I1830" s="180"/>
      <c r="J1830" s="180"/>
      <c r="K1830" s="180"/>
      <c r="L1830" s="180"/>
      <c r="M1830" s="180"/>
      <c r="N1830" s="180"/>
      <c r="O1830" s="180"/>
      <c r="P1830" s="180"/>
    </row>
    <row r="1831" spans="1:16" x14ac:dyDescent="0.45">
      <c r="A1831" s="180" t="s">
        <v>14</v>
      </c>
      <c r="B1831" s="73">
        <v>4</v>
      </c>
      <c r="C1831" s="73"/>
      <c r="D1831" s="180" t="s">
        <v>600</v>
      </c>
      <c r="E1831" s="39">
        <v>43595</v>
      </c>
      <c r="F1831" s="179">
        <v>0.37361111111111112</v>
      </c>
      <c r="G1831" s="180">
        <v>24</v>
      </c>
      <c r="H1831" s="180"/>
      <c r="I1831" s="180"/>
      <c r="J1831" s="180"/>
      <c r="K1831" s="180"/>
      <c r="L1831" s="180"/>
      <c r="M1831" s="180"/>
      <c r="N1831" s="180"/>
      <c r="O1831" s="180"/>
      <c r="P1831" s="180"/>
    </row>
    <row r="1832" spans="1:16" x14ac:dyDescent="0.45">
      <c r="A1832" s="180" t="s">
        <v>14</v>
      </c>
      <c r="B1832" s="73">
        <v>13</v>
      </c>
      <c r="C1832" s="73"/>
      <c r="D1832" s="180" t="s">
        <v>600</v>
      </c>
      <c r="E1832" s="39">
        <v>43595</v>
      </c>
      <c r="F1832" s="179">
        <v>0.56666666666666665</v>
      </c>
      <c r="G1832" s="180">
        <v>3</v>
      </c>
      <c r="H1832" s="180"/>
      <c r="I1832" s="180"/>
      <c r="J1832" s="180"/>
      <c r="K1832" s="180"/>
      <c r="L1832" s="180"/>
      <c r="M1832" s="180"/>
      <c r="N1832" s="180"/>
      <c r="O1832" s="180"/>
      <c r="P1832" s="180"/>
    </row>
    <row r="1833" spans="1:16" x14ac:dyDescent="0.45">
      <c r="A1833" s="180" t="s">
        <v>14</v>
      </c>
      <c r="B1833" s="73">
        <v>13</v>
      </c>
      <c r="C1833" s="73"/>
      <c r="D1833" s="180" t="s">
        <v>600</v>
      </c>
      <c r="E1833" s="39">
        <v>43595</v>
      </c>
      <c r="F1833" s="179">
        <v>0.56666666666666665</v>
      </c>
      <c r="G1833" s="180">
        <v>3</v>
      </c>
      <c r="H1833" s="180"/>
      <c r="I1833" s="180"/>
      <c r="J1833" s="180"/>
      <c r="K1833" s="180"/>
      <c r="L1833" s="180"/>
      <c r="M1833" s="180"/>
      <c r="N1833" s="180"/>
      <c r="O1833" s="180"/>
      <c r="P1833" s="180"/>
    </row>
    <row r="1834" spans="1:16" x14ac:dyDescent="0.45">
      <c r="A1834" s="180" t="s">
        <v>14</v>
      </c>
      <c r="B1834" s="73">
        <v>7</v>
      </c>
      <c r="C1834" s="73"/>
      <c r="D1834" s="180" t="s">
        <v>600</v>
      </c>
      <c r="E1834" s="39">
        <v>43595</v>
      </c>
      <c r="F1834" s="179">
        <v>0.51111111111111118</v>
      </c>
      <c r="G1834" s="180">
        <v>1</v>
      </c>
      <c r="H1834" s="180"/>
      <c r="I1834" s="180"/>
      <c r="J1834" s="180"/>
      <c r="K1834" s="180"/>
      <c r="L1834" s="180"/>
      <c r="M1834" s="180"/>
      <c r="N1834" s="180"/>
      <c r="O1834" s="180"/>
      <c r="P1834" s="180"/>
    </row>
    <row r="1835" spans="1:16" x14ac:dyDescent="0.45">
      <c r="A1835" s="180" t="s">
        <v>14</v>
      </c>
      <c r="B1835" s="73">
        <v>1</v>
      </c>
      <c r="C1835" s="73"/>
      <c r="D1835" s="180" t="s">
        <v>600</v>
      </c>
      <c r="E1835" s="39">
        <v>43595</v>
      </c>
      <c r="F1835" s="179">
        <v>0.78055555555555556</v>
      </c>
      <c r="G1835" s="180">
        <v>1</v>
      </c>
      <c r="H1835" s="180"/>
      <c r="I1835" s="180"/>
      <c r="J1835" s="180"/>
      <c r="K1835" s="180"/>
      <c r="L1835" s="180"/>
      <c r="M1835" s="180"/>
      <c r="N1835" s="180"/>
      <c r="O1835" s="180"/>
      <c r="P1835" s="180"/>
    </row>
    <row r="1836" spans="1:16" x14ac:dyDescent="0.45">
      <c r="A1836" s="180" t="s">
        <v>14</v>
      </c>
      <c r="B1836" s="73">
        <v>13</v>
      </c>
      <c r="C1836" s="73"/>
      <c r="D1836" s="180" t="s">
        <v>600</v>
      </c>
      <c r="E1836" s="39">
        <v>43595</v>
      </c>
      <c r="F1836" s="179">
        <v>0.56666666666666665</v>
      </c>
      <c r="G1836" s="180">
        <v>3</v>
      </c>
      <c r="H1836" s="180"/>
      <c r="I1836" s="180"/>
      <c r="J1836" s="180"/>
      <c r="K1836" s="180"/>
      <c r="L1836" s="180"/>
      <c r="M1836" s="180"/>
      <c r="N1836" s="180"/>
      <c r="O1836" s="180"/>
      <c r="P1836" s="180"/>
    </row>
    <row r="1837" spans="1:16" x14ac:dyDescent="0.45">
      <c r="A1837" s="180" t="s">
        <v>14</v>
      </c>
      <c r="B1837" s="73">
        <v>60</v>
      </c>
      <c r="C1837" s="73"/>
      <c r="D1837" s="180" t="s">
        <v>600</v>
      </c>
      <c r="E1837" s="39">
        <v>43595</v>
      </c>
      <c r="F1837" s="179">
        <v>0.61249999999999993</v>
      </c>
      <c r="G1837" s="180">
        <v>2</v>
      </c>
      <c r="H1837" s="180" t="s">
        <v>612</v>
      </c>
      <c r="I1837" s="180"/>
      <c r="J1837" s="180"/>
      <c r="K1837" s="180"/>
      <c r="L1837" s="180"/>
      <c r="M1837" s="180"/>
      <c r="N1837" s="180"/>
      <c r="O1837" s="180"/>
      <c r="P1837" s="180"/>
    </row>
    <row r="1838" spans="1:16" x14ac:dyDescent="0.45">
      <c r="A1838" s="180" t="s">
        <v>14</v>
      </c>
      <c r="B1838" s="73">
        <v>4</v>
      </c>
      <c r="C1838" s="73"/>
      <c r="D1838" s="180" t="s">
        <v>600</v>
      </c>
      <c r="E1838" s="39">
        <v>43595</v>
      </c>
      <c r="F1838" s="179">
        <v>0.37361111111111112</v>
      </c>
      <c r="G1838" s="180">
        <v>24</v>
      </c>
      <c r="H1838" s="180"/>
      <c r="I1838" s="180"/>
      <c r="J1838" s="180"/>
      <c r="K1838" s="180"/>
      <c r="L1838" s="180"/>
      <c r="M1838" s="180"/>
      <c r="N1838" s="180"/>
      <c r="O1838" s="180"/>
      <c r="P1838" s="180"/>
    </row>
    <row r="1839" spans="1:16" x14ac:dyDescent="0.45">
      <c r="A1839" s="180" t="s">
        <v>14</v>
      </c>
      <c r="B1839" s="73">
        <v>4</v>
      </c>
      <c r="C1839" s="73"/>
      <c r="D1839" s="180" t="s">
        <v>600</v>
      </c>
      <c r="E1839" s="39">
        <v>43595</v>
      </c>
      <c r="F1839" s="179">
        <v>0.37361111111111112</v>
      </c>
      <c r="G1839" s="180">
        <v>24</v>
      </c>
      <c r="H1839" s="180"/>
      <c r="I1839" s="180"/>
      <c r="J1839" s="180"/>
      <c r="K1839" s="180"/>
      <c r="L1839" s="180"/>
      <c r="M1839" s="180"/>
      <c r="N1839" s="180"/>
      <c r="O1839" s="180"/>
      <c r="P1839" s="180"/>
    </row>
    <row r="1840" spans="1:16" x14ac:dyDescent="0.45">
      <c r="A1840" s="180" t="s">
        <v>14</v>
      </c>
      <c r="B1840" s="73">
        <v>7</v>
      </c>
      <c r="C1840" s="73"/>
      <c r="D1840" s="180" t="s">
        <v>600</v>
      </c>
      <c r="E1840" s="39">
        <v>43595</v>
      </c>
      <c r="F1840" s="179">
        <v>0.60416666666666663</v>
      </c>
      <c r="G1840" s="180">
        <v>2</v>
      </c>
      <c r="H1840" s="180"/>
      <c r="I1840" s="180"/>
      <c r="J1840" s="180"/>
      <c r="K1840" s="180"/>
      <c r="L1840" s="180"/>
      <c r="M1840" s="180"/>
      <c r="N1840" s="180"/>
      <c r="O1840" s="180"/>
      <c r="P1840" s="180"/>
    </row>
    <row r="1841" spans="1:16" x14ac:dyDescent="0.45">
      <c r="A1841" s="180" t="s">
        <v>14</v>
      </c>
      <c r="B1841" s="73">
        <v>4</v>
      </c>
      <c r="C1841" s="73"/>
      <c r="D1841" s="180" t="s">
        <v>600</v>
      </c>
      <c r="E1841" s="39">
        <v>43595</v>
      </c>
      <c r="F1841" s="179">
        <v>0.37361111111111112</v>
      </c>
      <c r="G1841" s="180">
        <v>24</v>
      </c>
      <c r="H1841" s="180"/>
      <c r="I1841" s="180"/>
      <c r="J1841" s="180"/>
      <c r="K1841" s="180"/>
      <c r="L1841" s="180"/>
      <c r="M1841" s="180"/>
      <c r="N1841" s="180"/>
      <c r="O1841" s="180"/>
      <c r="P1841" s="180"/>
    </row>
    <row r="1842" spans="1:16" x14ac:dyDescent="0.45">
      <c r="A1842" s="180" t="s">
        <v>14</v>
      </c>
      <c r="B1842" s="73">
        <v>2</v>
      </c>
      <c r="C1842" s="73"/>
      <c r="D1842" s="180" t="s">
        <v>602</v>
      </c>
      <c r="E1842" s="39">
        <v>43595</v>
      </c>
      <c r="F1842" s="179">
        <v>0.43472222222222223</v>
      </c>
      <c r="G1842" s="180">
        <v>1</v>
      </c>
      <c r="H1842" s="180"/>
      <c r="I1842" s="180"/>
      <c r="J1842" s="180"/>
      <c r="K1842" s="180"/>
      <c r="L1842" s="180"/>
      <c r="M1842" s="180"/>
      <c r="N1842" s="180"/>
      <c r="O1842" s="180"/>
      <c r="P1842" s="180"/>
    </row>
    <row r="1843" spans="1:16" x14ac:dyDescent="0.45">
      <c r="A1843" s="180" t="s">
        <v>14</v>
      </c>
      <c r="B1843" s="73">
        <v>2</v>
      </c>
      <c r="C1843" s="73"/>
      <c r="D1843" s="180" t="s">
        <v>602</v>
      </c>
      <c r="E1843" s="39">
        <v>43595</v>
      </c>
      <c r="F1843" s="179">
        <v>0.64861111111111114</v>
      </c>
      <c r="G1843" s="180">
        <v>3</v>
      </c>
      <c r="H1843" s="180"/>
      <c r="I1843" s="180"/>
      <c r="J1843" s="180"/>
      <c r="K1843" s="180"/>
      <c r="L1843" s="180"/>
      <c r="M1843" s="180"/>
      <c r="N1843" s="180"/>
      <c r="O1843" s="180"/>
      <c r="P1843" s="180"/>
    </row>
    <row r="1844" spans="1:16" x14ac:dyDescent="0.45">
      <c r="A1844" s="180" t="s">
        <v>14</v>
      </c>
      <c r="B1844" s="73">
        <v>2</v>
      </c>
      <c r="C1844" s="73"/>
      <c r="D1844" s="180" t="s">
        <v>624</v>
      </c>
      <c r="E1844" s="39">
        <v>43596</v>
      </c>
      <c r="F1844" s="179">
        <v>0.50486111111111109</v>
      </c>
      <c r="G1844" s="180">
        <v>1</v>
      </c>
      <c r="H1844" s="180"/>
      <c r="I1844" s="180"/>
      <c r="J1844" s="180"/>
      <c r="K1844" s="180"/>
      <c r="L1844" s="180"/>
      <c r="M1844" s="180"/>
      <c r="N1844" s="180"/>
      <c r="O1844" s="180"/>
      <c r="P1844" s="180"/>
    </row>
    <row r="1845" spans="1:16" x14ac:dyDescent="0.45">
      <c r="A1845" s="180" t="s">
        <v>14</v>
      </c>
      <c r="B1845" s="73">
        <v>2</v>
      </c>
      <c r="C1845" s="73"/>
      <c r="D1845" s="180" t="s">
        <v>624</v>
      </c>
      <c r="E1845" s="39">
        <v>43596</v>
      </c>
      <c r="F1845" s="179">
        <v>0.50486111111111109</v>
      </c>
      <c r="G1845" s="180">
        <v>1</v>
      </c>
      <c r="H1845" s="180"/>
      <c r="I1845" s="180"/>
      <c r="J1845" s="180"/>
      <c r="K1845" s="180"/>
      <c r="L1845" s="180"/>
      <c r="M1845" s="180"/>
      <c r="N1845" s="180"/>
      <c r="O1845" s="180"/>
      <c r="P1845" s="180"/>
    </row>
    <row r="1846" spans="1:16" x14ac:dyDescent="0.45">
      <c r="A1846" s="180" t="s">
        <v>14</v>
      </c>
      <c r="B1846" s="73">
        <v>5</v>
      </c>
      <c r="C1846" s="73"/>
      <c r="D1846" s="180" t="s">
        <v>600</v>
      </c>
      <c r="E1846" s="39">
        <v>43596</v>
      </c>
      <c r="F1846" s="179">
        <v>0.28125</v>
      </c>
      <c r="G1846" s="180">
        <v>2</v>
      </c>
      <c r="H1846" s="180" t="s">
        <v>613</v>
      </c>
      <c r="I1846" s="180"/>
      <c r="J1846" s="180"/>
      <c r="K1846" s="180"/>
      <c r="L1846" s="180"/>
      <c r="M1846" s="180"/>
      <c r="N1846" s="180"/>
      <c r="O1846" s="180"/>
      <c r="P1846" s="180"/>
    </row>
    <row r="1847" spans="1:16" x14ac:dyDescent="0.45">
      <c r="A1847" s="180" t="s">
        <v>14</v>
      </c>
      <c r="B1847" s="73">
        <v>42</v>
      </c>
      <c r="C1847" s="73">
        <v>42</v>
      </c>
      <c r="D1847" s="180" t="s">
        <v>600</v>
      </c>
      <c r="E1847" s="39">
        <v>43596</v>
      </c>
      <c r="F1847" s="179">
        <v>0.44166666666666665</v>
      </c>
      <c r="G1847" s="180">
        <v>20</v>
      </c>
      <c r="H1847" s="180"/>
      <c r="I1847" s="180"/>
      <c r="J1847" s="180"/>
      <c r="K1847" s="180"/>
      <c r="L1847" s="180"/>
      <c r="M1847" s="180"/>
      <c r="N1847" s="180"/>
      <c r="O1847" s="180"/>
      <c r="P1847" s="180"/>
    </row>
    <row r="1848" spans="1:16" x14ac:dyDescent="0.45">
      <c r="A1848" s="180" t="s">
        <v>14</v>
      </c>
      <c r="B1848" s="73">
        <v>4</v>
      </c>
      <c r="C1848" s="73"/>
      <c r="D1848" s="180" t="s">
        <v>600</v>
      </c>
      <c r="E1848" s="39">
        <v>43596</v>
      </c>
      <c r="F1848" s="179">
        <v>0.4458333333333333</v>
      </c>
      <c r="G1848" s="180">
        <v>1</v>
      </c>
      <c r="H1848" s="180"/>
      <c r="I1848" s="180"/>
      <c r="J1848" s="180"/>
      <c r="K1848" s="180"/>
      <c r="L1848" s="180"/>
      <c r="M1848" s="180"/>
      <c r="N1848" s="180"/>
      <c r="O1848" s="180"/>
      <c r="P1848" s="180"/>
    </row>
    <row r="1849" spans="1:16" x14ac:dyDescent="0.45">
      <c r="A1849" s="180" t="s">
        <v>14</v>
      </c>
      <c r="B1849" s="73">
        <v>14</v>
      </c>
      <c r="C1849" s="73"/>
      <c r="D1849" s="180" t="s">
        <v>600</v>
      </c>
      <c r="E1849" s="39">
        <v>43596</v>
      </c>
      <c r="F1849" s="179">
        <v>0.38055555555555554</v>
      </c>
      <c r="G1849" s="180">
        <v>20</v>
      </c>
      <c r="H1849" s="180" t="s">
        <v>604</v>
      </c>
      <c r="I1849" s="180"/>
      <c r="J1849" s="180"/>
      <c r="K1849" s="180"/>
      <c r="L1849" s="180"/>
      <c r="M1849" s="180"/>
      <c r="N1849" s="180"/>
      <c r="O1849" s="180"/>
      <c r="P1849" s="180"/>
    </row>
    <row r="1850" spans="1:16" x14ac:dyDescent="0.45">
      <c r="A1850" s="180" t="s">
        <v>14</v>
      </c>
      <c r="B1850" s="73">
        <v>15</v>
      </c>
      <c r="C1850" s="73"/>
      <c r="D1850" s="180" t="s">
        <v>600</v>
      </c>
      <c r="E1850" s="39">
        <v>43596</v>
      </c>
      <c r="F1850" s="179">
        <v>0.38194444444444442</v>
      </c>
      <c r="G1850" s="180">
        <v>2</v>
      </c>
      <c r="H1850" s="180"/>
      <c r="I1850" s="180"/>
      <c r="J1850" s="180"/>
      <c r="K1850" s="180"/>
      <c r="L1850" s="180"/>
      <c r="M1850" s="180"/>
      <c r="N1850" s="180"/>
      <c r="O1850" s="180"/>
      <c r="P1850" s="180"/>
    </row>
    <row r="1851" spans="1:16" x14ac:dyDescent="0.45">
      <c r="A1851" s="180" t="s">
        <v>14</v>
      </c>
      <c r="B1851" s="73">
        <v>6</v>
      </c>
      <c r="C1851" s="73"/>
      <c r="D1851" s="180" t="s">
        <v>600</v>
      </c>
      <c r="E1851" s="39">
        <v>43596</v>
      </c>
      <c r="F1851" s="179">
        <v>0.3125</v>
      </c>
      <c r="G1851" s="180">
        <v>4</v>
      </c>
      <c r="H1851" s="180" t="s">
        <v>629</v>
      </c>
      <c r="I1851" s="180"/>
      <c r="J1851" s="180"/>
      <c r="K1851" s="180"/>
      <c r="L1851" s="180"/>
      <c r="M1851" s="180"/>
      <c r="N1851" s="180"/>
      <c r="O1851" s="180"/>
      <c r="P1851" s="180"/>
    </row>
    <row r="1852" spans="1:16" x14ac:dyDescent="0.45">
      <c r="A1852" s="180" t="s">
        <v>14</v>
      </c>
      <c r="B1852" s="73">
        <v>20</v>
      </c>
      <c r="C1852" s="73"/>
      <c r="D1852" s="180" t="s">
        <v>602</v>
      </c>
      <c r="E1852" s="39">
        <v>43596</v>
      </c>
      <c r="F1852" s="179">
        <v>0.33749999999999997</v>
      </c>
      <c r="G1852" s="180">
        <v>1</v>
      </c>
      <c r="H1852" s="180"/>
      <c r="I1852" s="180"/>
      <c r="J1852" s="180"/>
      <c r="K1852" s="180"/>
      <c r="L1852" s="180"/>
      <c r="M1852" s="180"/>
      <c r="N1852" s="180"/>
      <c r="O1852" s="180"/>
      <c r="P1852" s="180"/>
    </row>
    <row r="1853" spans="1:16" x14ac:dyDescent="0.45">
      <c r="A1853" s="180" t="s">
        <v>14</v>
      </c>
      <c r="B1853" s="73">
        <v>3</v>
      </c>
      <c r="C1853" s="73"/>
      <c r="D1853" s="180" t="s">
        <v>602</v>
      </c>
      <c r="E1853" s="39">
        <v>43596</v>
      </c>
      <c r="F1853" s="179">
        <v>0.33333333333333331</v>
      </c>
      <c r="G1853" s="180">
        <v>2</v>
      </c>
      <c r="H1853" s="180"/>
      <c r="I1853" s="180"/>
      <c r="J1853" s="180"/>
      <c r="K1853" s="180"/>
      <c r="L1853" s="180"/>
      <c r="M1853" s="180"/>
      <c r="N1853" s="180"/>
      <c r="O1853" s="180"/>
      <c r="P1853" s="180"/>
    </row>
    <row r="1854" spans="1:16" x14ac:dyDescent="0.45">
      <c r="A1854" s="180" t="s">
        <v>14</v>
      </c>
      <c r="B1854" s="73">
        <v>20</v>
      </c>
      <c r="C1854" s="73"/>
      <c r="D1854" s="180" t="s">
        <v>602</v>
      </c>
      <c r="E1854" s="39">
        <v>43596</v>
      </c>
      <c r="F1854" s="179">
        <v>0.33749999999999997</v>
      </c>
      <c r="G1854" s="180">
        <v>1</v>
      </c>
      <c r="H1854" s="180"/>
      <c r="I1854" s="180"/>
      <c r="J1854" s="180"/>
      <c r="K1854" s="180"/>
      <c r="L1854" s="180"/>
      <c r="M1854" s="180"/>
      <c r="N1854" s="180"/>
      <c r="O1854" s="180"/>
      <c r="P1854" s="180"/>
    </row>
    <row r="1855" spans="1:16" x14ac:dyDescent="0.45">
      <c r="A1855" s="180" t="s">
        <v>14</v>
      </c>
      <c r="B1855" s="73">
        <v>1</v>
      </c>
      <c r="C1855" s="73"/>
      <c r="D1855" s="180" t="s">
        <v>602</v>
      </c>
      <c r="E1855" s="39">
        <v>43596</v>
      </c>
      <c r="F1855" s="179">
        <v>0.33749999999999997</v>
      </c>
      <c r="G1855" s="180">
        <v>1</v>
      </c>
      <c r="H1855" s="180"/>
      <c r="I1855" s="180" t="s">
        <v>630</v>
      </c>
      <c r="J1855" s="180"/>
      <c r="K1855" s="180"/>
      <c r="L1855" s="180"/>
      <c r="M1855" s="180"/>
      <c r="N1855" s="180"/>
      <c r="O1855" s="180"/>
      <c r="P1855" s="180"/>
    </row>
    <row r="1856" spans="1:16" x14ac:dyDescent="0.45">
      <c r="A1856" s="180" t="s">
        <v>14</v>
      </c>
      <c r="B1856" s="73">
        <v>2</v>
      </c>
      <c r="C1856" s="73"/>
      <c r="D1856" s="180" t="s">
        <v>631</v>
      </c>
      <c r="E1856" s="39">
        <v>43597</v>
      </c>
      <c r="F1856" s="179">
        <v>0.43402777777777773</v>
      </c>
      <c r="G1856" s="180">
        <v>2</v>
      </c>
      <c r="H1856" s="180"/>
      <c r="I1856" s="180"/>
      <c r="J1856" s="180"/>
      <c r="K1856" s="180"/>
      <c r="L1856" s="180"/>
      <c r="M1856" s="180"/>
      <c r="N1856" s="180"/>
      <c r="O1856" s="180"/>
      <c r="P1856" s="180"/>
    </row>
    <row r="1857" spans="1:16" x14ac:dyDescent="0.45">
      <c r="A1857" s="180" t="s">
        <v>14</v>
      </c>
      <c r="B1857" s="73">
        <v>3</v>
      </c>
      <c r="C1857" s="73"/>
      <c r="D1857" s="180" t="s">
        <v>632</v>
      </c>
      <c r="E1857" s="39">
        <v>43597</v>
      </c>
      <c r="F1857" s="179">
        <v>0.49444444444444446</v>
      </c>
      <c r="G1857" s="180">
        <v>1</v>
      </c>
      <c r="H1857" s="180"/>
      <c r="I1857" s="180"/>
      <c r="J1857" s="180"/>
      <c r="K1857" s="180"/>
      <c r="L1857" s="180"/>
      <c r="M1857" s="180"/>
      <c r="N1857" s="180"/>
      <c r="O1857" s="180"/>
      <c r="P1857" s="180"/>
    </row>
    <row r="1858" spans="1:16" x14ac:dyDescent="0.45">
      <c r="A1858" s="180" t="s">
        <v>14</v>
      </c>
      <c r="B1858" s="73">
        <v>12</v>
      </c>
      <c r="C1858" s="73"/>
      <c r="D1858" s="180" t="s">
        <v>600</v>
      </c>
      <c r="E1858" s="39">
        <v>43597</v>
      </c>
      <c r="F1858" s="179">
        <v>0.4375</v>
      </c>
      <c r="G1858" s="180">
        <v>12</v>
      </c>
      <c r="H1858" s="180" t="s">
        <v>615</v>
      </c>
      <c r="I1858" s="180"/>
      <c r="J1858" s="180"/>
      <c r="K1858" s="180"/>
      <c r="L1858" s="180"/>
      <c r="M1858" s="180"/>
      <c r="N1858" s="180"/>
      <c r="O1858" s="180"/>
      <c r="P1858" s="180"/>
    </row>
    <row r="1859" spans="1:16" x14ac:dyDescent="0.45">
      <c r="A1859" s="180" t="s">
        <v>14</v>
      </c>
      <c r="B1859" s="73">
        <v>7</v>
      </c>
      <c r="C1859" s="73"/>
      <c r="D1859" s="180" t="s">
        <v>600</v>
      </c>
      <c r="E1859" s="39">
        <v>43597</v>
      </c>
      <c r="F1859" s="179">
        <v>0.4826388888888889</v>
      </c>
      <c r="G1859" s="180">
        <v>10</v>
      </c>
      <c r="H1859" s="180" t="s">
        <v>614</v>
      </c>
      <c r="I1859" s="180"/>
      <c r="J1859" s="180"/>
      <c r="K1859" s="180"/>
      <c r="L1859" s="180"/>
      <c r="M1859" s="180"/>
      <c r="N1859" s="180"/>
      <c r="O1859" s="180"/>
      <c r="P1859" s="180"/>
    </row>
    <row r="1860" spans="1:16" x14ac:dyDescent="0.45">
      <c r="A1860" s="180" t="s">
        <v>14</v>
      </c>
      <c r="B1860" s="73">
        <v>6</v>
      </c>
      <c r="C1860" s="73"/>
      <c r="D1860" s="180" t="s">
        <v>600</v>
      </c>
      <c r="E1860" s="39">
        <v>43597</v>
      </c>
      <c r="F1860" s="179">
        <v>0.45555555555555555</v>
      </c>
      <c r="G1860" s="180">
        <v>4</v>
      </c>
      <c r="H1860" s="180"/>
      <c r="I1860" s="180"/>
      <c r="J1860" s="180"/>
      <c r="K1860" s="180"/>
      <c r="L1860" s="180"/>
      <c r="M1860" s="180"/>
      <c r="N1860" s="180"/>
      <c r="O1860" s="180"/>
      <c r="P1860" s="180"/>
    </row>
    <row r="1861" spans="1:16" x14ac:dyDescent="0.45">
      <c r="A1861" s="180" t="s">
        <v>14</v>
      </c>
      <c r="B1861" s="73">
        <v>5</v>
      </c>
      <c r="C1861" s="73"/>
      <c r="D1861" s="180" t="s">
        <v>600</v>
      </c>
      <c r="E1861" s="39">
        <v>43597</v>
      </c>
      <c r="F1861" s="179">
        <v>0.46527777777777773</v>
      </c>
      <c r="G1861" s="180">
        <v>1</v>
      </c>
      <c r="H1861" s="180" t="s">
        <v>610</v>
      </c>
      <c r="I1861" s="180"/>
      <c r="J1861" s="180"/>
      <c r="K1861" s="180"/>
      <c r="L1861" s="180"/>
      <c r="M1861" s="180"/>
      <c r="N1861" s="180"/>
      <c r="O1861" s="180"/>
      <c r="P1861" s="180"/>
    </row>
    <row r="1862" spans="1:16" x14ac:dyDescent="0.45">
      <c r="A1862" s="180" t="s">
        <v>14</v>
      </c>
      <c r="B1862" s="73">
        <v>40</v>
      </c>
      <c r="C1862" s="73">
        <v>40</v>
      </c>
      <c r="D1862" s="180" t="s">
        <v>600</v>
      </c>
      <c r="E1862" s="39">
        <v>43597</v>
      </c>
      <c r="F1862" s="179">
        <v>0.28819444444444448</v>
      </c>
      <c r="G1862" s="180">
        <v>6</v>
      </c>
      <c r="H1862" s="180" t="s">
        <v>609</v>
      </c>
      <c r="I1862" s="180"/>
      <c r="J1862" s="180"/>
      <c r="K1862" s="180"/>
      <c r="L1862" s="180"/>
      <c r="M1862" s="180"/>
      <c r="N1862" s="180"/>
      <c r="O1862" s="180"/>
      <c r="P1862" s="180"/>
    </row>
    <row r="1863" spans="1:16" x14ac:dyDescent="0.45">
      <c r="A1863" s="180" t="s">
        <v>14</v>
      </c>
      <c r="B1863" s="73">
        <v>7</v>
      </c>
      <c r="C1863" s="73"/>
      <c r="D1863" s="180" t="s">
        <v>600</v>
      </c>
      <c r="E1863" s="39">
        <v>43597</v>
      </c>
      <c r="F1863" s="179">
        <v>0.45763888888888887</v>
      </c>
      <c r="G1863" s="180">
        <v>3</v>
      </c>
      <c r="H1863" s="180"/>
      <c r="I1863" s="180"/>
      <c r="J1863" s="180"/>
      <c r="K1863" s="180"/>
      <c r="L1863" s="180"/>
      <c r="M1863" s="180"/>
      <c r="N1863" s="180"/>
      <c r="O1863" s="180"/>
      <c r="P1863" s="180"/>
    </row>
    <row r="1864" spans="1:16" x14ac:dyDescent="0.45">
      <c r="A1864" s="180" t="s">
        <v>14</v>
      </c>
      <c r="B1864" s="73">
        <v>16</v>
      </c>
      <c r="C1864" s="73"/>
      <c r="D1864" s="180" t="s">
        <v>600</v>
      </c>
      <c r="E1864" s="39">
        <v>43597</v>
      </c>
      <c r="F1864" s="179">
        <v>0.4375</v>
      </c>
      <c r="G1864" s="180">
        <v>4</v>
      </c>
      <c r="H1864" s="180" t="s">
        <v>633</v>
      </c>
      <c r="I1864" s="180"/>
      <c r="J1864" s="180"/>
      <c r="K1864" s="180"/>
      <c r="L1864" s="180"/>
      <c r="M1864" s="180"/>
      <c r="N1864" s="180"/>
      <c r="O1864" s="180"/>
      <c r="P1864" s="180"/>
    </row>
    <row r="1865" spans="1:16" x14ac:dyDescent="0.45">
      <c r="A1865" s="180" t="s">
        <v>14</v>
      </c>
      <c r="B1865" s="73">
        <v>7</v>
      </c>
      <c r="C1865" s="73"/>
      <c r="D1865" s="180" t="s">
        <v>600</v>
      </c>
      <c r="E1865" s="39">
        <v>43597</v>
      </c>
      <c r="F1865" s="179">
        <v>0.45833333333333331</v>
      </c>
      <c r="G1865" s="180">
        <v>3</v>
      </c>
      <c r="H1865" s="180"/>
      <c r="I1865" s="180"/>
      <c r="J1865" s="180"/>
      <c r="K1865" s="180"/>
      <c r="L1865" s="180"/>
      <c r="M1865" s="180"/>
      <c r="N1865" s="180"/>
      <c r="O1865" s="180"/>
      <c r="P1865" s="180"/>
    </row>
    <row r="1866" spans="1:16" x14ac:dyDescent="0.45">
      <c r="A1866" s="180" t="s">
        <v>14</v>
      </c>
      <c r="B1866" s="73">
        <v>12</v>
      </c>
      <c r="C1866" s="73"/>
      <c r="D1866" s="180" t="s">
        <v>600</v>
      </c>
      <c r="E1866" s="39">
        <v>43597</v>
      </c>
      <c r="F1866" s="179">
        <v>0.5083333333333333</v>
      </c>
      <c r="G1866" s="180">
        <v>1</v>
      </c>
      <c r="H1866" s="180"/>
      <c r="I1866" s="180"/>
      <c r="J1866" s="180"/>
      <c r="K1866" s="180"/>
      <c r="L1866" s="180"/>
      <c r="M1866" s="180"/>
      <c r="N1866" s="180"/>
      <c r="O1866" s="180"/>
      <c r="P1866" s="180"/>
    </row>
    <row r="1867" spans="1:16" x14ac:dyDescent="0.45">
      <c r="A1867" s="180" t="s">
        <v>14</v>
      </c>
      <c r="B1867" s="73">
        <v>9</v>
      </c>
      <c r="C1867" s="73"/>
      <c r="D1867" s="180" t="s">
        <v>600</v>
      </c>
      <c r="E1867" s="39">
        <v>43597</v>
      </c>
      <c r="F1867" s="179">
        <v>0.42430555555555555</v>
      </c>
      <c r="G1867" s="180">
        <v>3</v>
      </c>
      <c r="H1867" s="180"/>
      <c r="I1867" s="180"/>
      <c r="J1867" s="180"/>
      <c r="K1867" s="180"/>
      <c r="L1867" s="180"/>
      <c r="M1867" s="180"/>
      <c r="N1867" s="180"/>
      <c r="O1867" s="180"/>
      <c r="P1867" s="180"/>
    </row>
    <row r="1868" spans="1:16" x14ac:dyDescent="0.45">
      <c r="A1868" s="180" t="s">
        <v>14</v>
      </c>
      <c r="B1868" s="73">
        <v>8</v>
      </c>
      <c r="C1868" s="73"/>
      <c r="D1868" s="180" t="s">
        <v>626</v>
      </c>
      <c r="E1868" s="39">
        <v>43597</v>
      </c>
      <c r="F1868" s="179">
        <v>0.4548611111111111</v>
      </c>
      <c r="G1868" s="180">
        <v>2</v>
      </c>
      <c r="H1868" s="180"/>
      <c r="I1868" s="180"/>
      <c r="J1868" s="180"/>
      <c r="K1868" s="180"/>
      <c r="L1868" s="180"/>
      <c r="M1868" s="180"/>
      <c r="N1868" s="180"/>
      <c r="O1868" s="180"/>
      <c r="P1868" s="180"/>
    </row>
    <row r="1869" spans="1:16" x14ac:dyDescent="0.45">
      <c r="A1869" s="180" t="s">
        <v>14</v>
      </c>
      <c r="B1869" s="73">
        <v>8</v>
      </c>
      <c r="C1869" s="73"/>
      <c r="D1869" s="180" t="s">
        <v>602</v>
      </c>
      <c r="E1869" s="39">
        <v>43597</v>
      </c>
      <c r="F1869" s="179">
        <v>0.44513888888888892</v>
      </c>
      <c r="G1869" s="180">
        <v>1</v>
      </c>
      <c r="H1869" s="180"/>
      <c r="I1869" s="180"/>
      <c r="J1869" s="180"/>
      <c r="K1869" s="180"/>
      <c r="L1869" s="180"/>
      <c r="M1869" s="180"/>
      <c r="N1869" s="180"/>
      <c r="O1869" s="180"/>
      <c r="P1869" s="180"/>
    </row>
    <row r="1870" spans="1:16" x14ac:dyDescent="0.45">
      <c r="A1870" s="180" t="s">
        <v>14</v>
      </c>
      <c r="B1870" s="73">
        <v>8</v>
      </c>
      <c r="C1870" s="73"/>
      <c r="D1870" s="180" t="s">
        <v>602</v>
      </c>
      <c r="E1870" s="39">
        <v>43597</v>
      </c>
      <c r="F1870" s="179">
        <v>0.49027777777777781</v>
      </c>
      <c r="G1870" s="180">
        <v>9</v>
      </c>
      <c r="H1870" s="180" t="s">
        <v>616</v>
      </c>
      <c r="I1870" s="180"/>
      <c r="J1870" s="180"/>
      <c r="K1870" s="180"/>
      <c r="L1870" s="180"/>
      <c r="M1870" s="180"/>
      <c r="N1870" s="180"/>
      <c r="O1870" s="180"/>
      <c r="P1870" s="180"/>
    </row>
    <row r="1871" spans="1:16" x14ac:dyDescent="0.45">
      <c r="A1871" s="180" t="s">
        <v>14</v>
      </c>
      <c r="B1871" s="73">
        <v>28</v>
      </c>
      <c r="C1871" s="73">
        <v>28</v>
      </c>
      <c r="D1871" s="180" t="s">
        <v>600</v>
      </c>
      <c r="E1871" s="39">
        <v>43598</v>
      </c>
      <c r="F1871" s="179">
        <v>0.45555555555555555</v>
      </c>
      <c r="G1871" s="180">
        <v>3</v>
      </c>
      <c r="H1871" s="180" t="s">
        <v>627</v>
      </c>
      <c r="I1871" s="180" t="s">
        <v>634</v>
      </c>
      <c r="J1871" s="180"/>
      <c r="K1871" s="180"/>
      <c r="L1871" s="180"/>
      <c r="M1871" s="180"/>
      <c r="N1871" s="180"/>
      <c r="O1871" s="180"/>
      <c r="P1871" s="180"/>
    </row>
    <row r="1872" spans="1:16" x14ac:dyDescent="0.45">
      <c r="A1872" s="180" t="s">
        <v>14</v>
      </c>
      <c r="B1872" s="73">
        <v>28</v>
      </c>
      <c r="C1872" s="73"/>
      <c r="D1872" s="180" t="s">
        <v>600</v>
      </c>
      <c r="E1872" s="39">
        <v>43598</v>
      </c>
      <c r="F1872" s="179">
        <v>0.45555555555555555</v>
      </c>
      <c r="G1872" s="180">
        <v>3</v>
      </c>
      <c r="H1872" s="180" t="s">
        <v>627</v>
      </c>
      <c r="I1872" s="180" t="s">
        <v>634</v>
      </c>
      <c r="J1872" s="180"/>
      <c r="K1872" s="180"/>
      <c r="L1872" s="180"/>
      <c r="M1872" s="180"/>
      <c r="N1872" s="180"/>
      <c r="O1872" s="180"/>
      <c r="P1872" s="180"/>
    </row>
    <row r="1873" spans="1:16" x14ac:dyDescent="0.45">
      <c r="A1873" s="180" t="s">
        <v>14</v>
      </c>
      <c r="B1873" s="73">
        <v>12</v>
      </c>
      <c r="C1873" s="73"/>
      <c r="D1873" s="180" t="s">
        <v>600</v>
      </c>
      <c r="E1873" s="39">
        <v>43598</v>
      </c>
      <c r="F1873" s="179">
        <v>0.60416666666666663</v>
      </c>
      <c r="G1873" s="180">
        <v>6</v>
      </c>
      <c r="H1873" s="180" t="s">
        <v>617</v>
      </c>
      <c r="I1873" s="180"/>
      <c r="J1873" s="180"/>
      <c r="K1873" s="180"/>
      <c r="L1873" s="180"/>
      <c r="M1873" s="180"/>
      <c r="N1873" s="180"/>
      <c r="O1873" s="180"/>
      <c r="P1873" s="180"/>
    </row>
    <row r="1874" spans="1:16" x14ac:dyDescent="0.45">
      <c r="A1874" s="180" t="s">
        <v>14</v>
      </c>
      <c r="B1874" s="73">
        <v>12</v>
      </c>
      <c r="C1874" s="73"/>
      <c r="D1874" s="180" t="s">
        <v>602</v>
      </c>
      <c r="E1874" s="39">
        <v>43598</v>
      </c>
      <c r="F1874" s="179">
        <v>0.60486111111111118</v>
      </c>
      <c r="G1874" s="180">
        <v>2</v>
      </c>
      <c r="H1874" s="180"/>
      <c r="I1874" s="180"/>
      <c r="J1874" s="180"/>
      <c r="K1874" s="180"/>
      <c r="L1874" s="180"/>
      <c r="M1874" s="180"/>
      <c r="N1874" s="180"/>
      <c r="O1874" s="180"/>
      <c r="P1874" s="180"/>
    </row>
    <row r="1875" spans="1:16" x14ac:dyDescent="0.45">
      <c r="A1875" s="180" t="s">
        <v>14</v>
      </c>
      <c r="B1875" s="73">
        <v>16</v>
      </c>
      <c r="C1875" s="73">
        <v>16</v>
      </c>
      <c r="D1875" s="180" t="s">
        <v>618</v>
      </c>
      <c r="E1875" s="39">
        <v>43599</v>
      </c>
      <c r="F1875" s="179">
        <v>0.59375</v>
      </c>
      <c r="G1875" s="180">
        <v>2</v>
      </c>
      <c r="H1875" s="180"/>
      <c r="I1875" s="180"/>
      <c r="J1875" s="180"/>
      <c r="K1875" s="180"/>
      <c r="L1875" s="180"/>
      <c r="M1875" s="180"/>
      <c r="N1875" s="180"/>
      <c r="O1875" s="180"/>
      <c r="P1875" s="180"/>
    </row>
    <row r="1876" spans="1:16" x14ac:dyDescent="0.45">
      <c r="A1876" s="180" t="s">
        <v>14</v>
      </c>
      <c r="B1876" s="73">
        <v>16</v>
      </c>
      <c r="C1876" s="73"/>
      <c r="D1876" s="180" t="s">
        <v>618</v>
      </c>
      <c r="E1876" s="39">
        <v>43599</v>
      </c>
      <c r="F1876" s="179">
        <v>0.59375</v>
      </c>
      <c r="G1876" s="180">
        <v>2</v>
      </c>
      <c r="H1876" s="180"/>
      <c r="I1876" s="180"/>
      <c r="J1876" s="180"/>
      <c r="K1876" s="180"/>
      <c r="L1876" s="180"/>
      <c r="M1876" s="180"/>
      <c r="N1876" s="180"/>
      <c r="O1876" s="180"/>
      <c r="P1876" s="180"/>
    </row>
    <row r="1877" spans="1:16" x14ac:dyDescent="0.45">
      <c r="A1877" s="180" t="s">
        <v>14</v>
      </c>
      <c r="B1877" s="73">
        <v>12</v>
      </c>
      <c r="C1877" s="73"/>
      <c r="D1877" s="180" t="s">
        <v>600</v>
      </c>
      <c r="E1877" s="39">
        <v>43599</v>
      </c>
      <c r="F1877" s="179">
        <v>0.4201388888888889</v>
      </c>
      <c r="G1877" s="180">
        <v>1</v>
      </c>
      <c r="H1877" s="180"/>
      <c r="I1877" s="180"/>
      <c r="J1877" s="180"/>
      <c r="K1877" s="180"/>
      <c r="L1877" s="180"/>
      <c r="M1877" s="180"/>
      <c r="N1877" s="180"/>
      <c r="O1877" s="180"/>
      <c r="P1877" s="180"/>
    </row>
    <row r="1878" spans="1:16" x14ac:dyDescent="0.45">
      <c r="A1878" s="180" t="s">
        <v>14</v>
      </c>
      <c r="B1878" s="73">
        <v>5</v>
      </c>
      <c r="C1878" s="73"/>
      <c r="D1878" s="180" t="s">
        <v>600</v>
      </c>
      <c r="E1878" s="39">
        <v>43599</v>
      </c>
      <c r="F1878" s="179">
        <v>0.63194444444444442</v>
      </c>
      <c r="G1878" s="180">
        <v>2</v>
      </c>
      <c r="H1878" s="180"/>
      <c r="I1878" s="180"/>
      <c r="J1878" s="180"/>
      <c r="K1878" s="180"/>
      <c r="L1878" s="180"/>
      <c r="M1878" s="180"/>
      <c r="N1878" s="180"/>
      <c r="O1878" s="180"/>
      <c r="P1878" s="180"/>
    </row>
    <row r="1879" spans="1:16" x14ac:dyDescent="0.45">
      <c r="A1879" s="180" t="s">
        <v>14</v>
      </c>
      <c r="B1879" s="73">
        <v>12</v>
      </c>
      <c r="C1879" s="73">
        <v>12</v>
      </c>
      <c r="D1879" s="180" t="s">
        <v>600</v>
      </c>
      <c r="E1879" s="39">
        <v>43600</v>
      </c>
      <c r="F1879" s="179">
        <v>0.68055555555555547</v>
      </c>
      <c r="G1879" s="180">
        <v>2</v>
      </c>
      <c r="H1879" s="180" t="s">
        <v>405</v>
      </c>
      <c r="I1879" s="180"/>
      <c r="J1879" s="180"/>
      <c r="K1879" s="180"/>
      <c r="L1879" s="180"/>
      <c r="M1879" s="180"/>
      <c r="N1879" s="180"/>
      <c r="O1879" s="180"/>
      <c r="P1879" s="180"/>
    </row>
    <row r="1880" spans="1:16" x14ac:dyDescent="0.45">
      <c r="A1880" s="180" t="s">
        <v>14</v>
      </c>
      <c r="B1880" s="73">
        <v>2</v>
      </c>
      <c r="C1880" s="73">
        <v>2</v>
      </c>
      <c r="D1880" s="180" t="s">
        <v>618</v>
      </c>
      <c r="E1880" s="39">
        <v>43601</v>
      </c>
      <c r="F1880" s="179">
        <v>0.5131944444444444</v>
      </c>
      <c r="G1880" s="180">
        <v>1</v>
      </c>
      <c r="H1880" s="180"/>
      <c r="I1880" s="180"/>
      <c r="J1880" s="180"/>
      <c r="K1880" s="180"/>
      <c r="L1880" s="180"/>
      <c r="M1880" s="180"/>
      <c r="N1880" s="180"/>
      <c r="O1880" s="180"/>
      <c r="P1880" s="180"/>
    </row>
    <row r="1881" spans="1:16" x14ac:dyDescent="0.45">
      <c r="A1881" s="180" t="s">
        <v>14</v>
      </c>
      <c r="B1881" s="73">
        <v>6</v>
      </c>
      <c r="C1881" s="73">
        <v>6</v>
      </c>
      <c r="D1881" s="180" t="s">
        <v>600</v>
      </c>
      <c r="E1881" s="39">
        <v>43603</v>
      </c>
      <c r="F1881" s="179">
        <v>0.70277777777777783</v>
      </c>
      <c r="G1881" s="180">
        <v>5</v>
      </c>
      <c r="H1881" s="180" t="s">
        <v>628</v>
      </c>
      <c r="I1881" s="180"/>
      <c r="J1881" s="180"/>
      <c r="K1881" s="180"/>
      <c r="L1881" s="180"/>
      <c r="M1881" s="180"/>
      <c r="N1881" s="180"/>
      <c r="O1881" s="180"/>
      <c r="P1881" s="180"/>
    </row>
    <row r="1882" spans="1:16" x14ac:dyDescent="0.45">
      <c r="A1882" s="180" t="s">
        <v>14</v>
      </c>
      <c r="B1882" s="73">
        <v>6</v>
      </c>
      <c r="C1882" s="73"/>
      <c r="D1882" s="180" t="s">
        <v>600</v>
      </c>
      <c r="E1882" s="39">
        <v>43603</v>
      </c>
      <c r="F1882" s="179">
        <v>0.70277777777777783</v>
      </c>
      <c r="G1882" s="180">
        <v>5</v>
      </c>
      <c r="H1882" s="180" t="s">
        <v>628</v>
      </c>
      <c r="I1882" s="180"/>
      <c r="J1882" s="180"/>
      <c r="K1882" s="180"/>
      <c r="L1882" s="180"/>
      <c r="M1882" s="180"/>
      <c r="N1882" s="180"/>
      <c r="O1882" s="180"/>
      <c r="P1882" s="180"/>
    </row>
    <row r="1883" spans="1:16" x14ac:dyDescent="0.45">
      <c r="A1883" s="180" t="s">
        <v>14</v>
      </c>
      <c r="B1883" s="73">
        <v>3</v>
      </c>
      <c r="C1883" s="73">
        <v>3</v>
      </c>
      <c r="D1883" s="180" t="s">
        <v>600</v>
      </c>
      <c r="E1883" s="39">
        <v>43605</v>
      </c>
      <c r="F1883" s="179">
        <v>0.67708333333333337</v>
      </c>
      <c r="G1883" s="180">
        <v>1</v>
      </c>
      <c r="H1883" s="180"/>
      <c r="I1883" s="180"/>
      <c r="J1883" s="180"/>
      <c r="K1883" s="180"/>
      <c r="L1883" s="180"/>
      <c r="M1883" s="180"/>
      <c r="N1883" s="180"/>
      <c r="O1883" s="180"/>
      <c r="P1883" s="180"/>
    </row>
    <row r="1884" spans="1:16" x14ac:dyDescent="0.45">
      <c r="A1884" s="180" t="s">
        <v>14</v>
      </c>
      <c r="B1884" s="73">
        <v>3</v>
      </c>
      <c r="C1884" s="73">
        <v>3</v>
      </c>
      <c r="D1884" s="180" t="s">
        <v>635</v>
      </c>
      <c r="E1884" s="39">
        <v>43606</v>
      </c>
      <c r="F1884" s="179">
        <v>0.34097222222222223</v>
      </c>
      <c r="G1884" s="180">
        <v>1</v>
      </c>
      <c r="H1884" s="180"/>
      <c r="I1884" s="180"/>
      <c r="J1884" s="180"/>
      <c r="K1884" s="180"/>
      <c r="L1884" s="180"/>
      <c r="M1884" s="180"/>
      <c r="N1884" s="180"/>
      <c r="O1884" s="180"/>
      <c r="P1884" s="180"/>
    </row>
    <row r="1885" spans="1:16" x14ac:dyDescent="0.45">
      <c r="A1885" s="180" t="s">
        <v>14</v>
      </c>
      <c r="B1885" s="73">
        <v>4</v>
      </c>
      <c r="C1885" s="73">
        <v>4</v>
      </c>
      <c r="D1885" s="180" t="s">
        <v>635</v>
      </c>
      <c r="E1885" s="39">
        <v>43608</v>
      </c>
      <c r="F1885" s="179">
        <v>0.92222222222222217</v>
      </c>
      <c r="G1885" s="180">
        <v>3</v>
      </c>
      <c r="H1885" s="180" t="s">
        <v>636</v>
      </c>
      <c r="I1885" s="180"/>
      <c r="J1885" s="180"/>
      <c r="K1885" s="180"/>
      <c r="L1885" s="180"/>
      <c r="M1885" s="180"/>
      <c r="N1885" s="180"/>
      <c r="O1885" s="180"/>
      <c r="P1885" s="180"/>
    </row>
    <row r="1886" spans="1:16" x14ac:dyDescent="0.45">
      <c r="A1886" s="180" t="s">
        <v>14</v>
      </c>
      <c r="B1886" s="73">
        <v>4</v>
      </c>
      <c r="C1886" s="73"/>
      <c r="D1886" s="180" t="s">
        <v>635</v>
      </c>
      <c r="E1886" s="39">
        <v>43608</v>
      </c>
      <c r="F1886" s="179">
        <v>0.92222222222222217</v>
      </c>
      <c r="G1886" s="180">
        <v>3</v>
      </c>
      <c r="H1886" s="180" t="s">
        <v>636</v>
      </c>
      <c r="I1886" s="180"/>
      <c r="J1886" s="180"/>
      <c r="K1886" s="180"/>
      <c r="L1886" s="180"/>
      <c r="M1886" s="180"/>
      <c r="N1886" s="180"/>
      <c r="O1886" s="180"/>
      <c r="P1886" s="180"/>
    </row>
    <row r="1887" spans="1:16" x14ac:dyDescent="0.45">
      <c r="A1887" s="1" t="s">
        <v>273</v>
      </c>
      <c r="B1887" s="73"/>
      <c r="C1887" s="73">
        <f>SUM(C1818:C1886)</f>
        <v>223</v>
      </c>
      <c r="D1887" s="180"/>
      <c r="E1887" s="39"/>
      <c r="F1887" s="179"/>
      <c r="G1887" s="180"/>
      <c r="H1887" s="180"/>
      <c r="I1887" s="180"/>
      <c r="J1887" s="180"/>
      <c r="K1887" s="180"/>
      <c r="L1887" s="180"/>
      <c r="M1887" s="180"/>
      <c r="N1887" s="180"/>
      <c r="O1887" s="180"/>
      <c r="P1887" s="180"/>
    </row>
    <row r="1888" spans="1:16" x14ac:dyDescent="0.45">
      <c r="A1888" s="180"/>
      <c r="B1888" s="73"/>
      <c r="C1888" s="73"/>
      <c r="D1888" s="180"/>
      <c r="E1888" s="39"/>
      <c r="F1888" s="179"/>
      <c r="G1888" s="180"/>
      <c r="H1888" s="180"/>
      <c r="I1888" s="180"/>
      <c r="J1888" s="180"/>
      <c r="K1888" s="180"/>
      <c r="L1888" s="180"/>
      <c r="M1888" s="180"/>
      <c r="N1888" s="180"/>
      <c r="O1888" s="180"/>
      <c r="P1888" s="180"/>
    </row>
    <row r="1889" spans="1:16" x14ac:dyDescent="0.45">
      <c r="A1889" s="180" t="s">
        <v>3</v>
      </c>
      <c r="B1889" s="73">
        <v>6</v>
      </c>
      <c r="C1889" s="73">
        <v>6</v>
      </c>
      <c r="D1889" s="180" t="s">
        <v>600</v>
      </c>
      <c r="E1889" s="39">
        <v>43572</v>
      </c>
      <c r="F1889" s="179">
        <v>0.67152777777777783</v>
      </c>
      <c r="G1889" s="180">
        <v>2</v>
      </c>
      <c r="H1889" s="180"/>
      <c r="I1889" s="180"/>
      <c r="J1889" s="180"/>
      <c r="K1889" s="180"/>
      <c r="L1889" s="180"/>
      <c r="M1889" s="180"/>
      <c r="N1889" s="180"/>
      <c r="O1889" s="180"/>
      <c r="P1889" s="180"/>
    </row>
    <row r="1890" spans="1:16" x14ac:dyDescent="0.45">
      <c r="A1890" s="180" t="s">
        <v>3</v>
      </c>
      <c r="B1890" s="73">
        <v>7</v>
      </c>
      <c r="C1890" s="73"/>
      <c r="D1890" s="180" t="s">
        <v>600</v>
      </c>
      <c r="E1890" s="39">
        <v>43573</v>
      </c>
      <c r="F1890" s="179">
        <v>0.68541666666666667</v>
      </c>
      <c r="G1890" s="180">
        <v>3</v>
      </c>
      <c r="H1890" s="180"/>
      <c r="I1890" s="180"/>
      <c r="J1890" s="180"/>
      <c r="K1890" s="180"/>
      <c r="L1890" s="180"/>
      <c r="M1890" s="180"/>
      <c r="N1890" s="180"/>
      <c r="O1890" s="180"/>
      <c r="P1890" s="180"/>
    </row>
    <row r="1891" spans="1:16" x14ac:dyDescent="0.45">
      <c r="A1891" s="180" t="s">
        <v>3</v>
      </c>
      <c r="B1891" s="73">
        <v>9</v>
      </c>
      <c r="C1891" s="73">
        <v>9</v>
      </c>
      <c r="D1891" s="180" t="s">
        <v>602</v>
      </c>
      <c r="E1891" s="39">
        <v>43573</v>
      </c>
      <c r="F1891" s="179">
        <v>0.69791666666666663</v>
      </c>
      <c r="G1891" s="180">
        <v>3</v>
      </c>
      <c r="H1891" s="180" t="s">
        <v>343</v>
      </c>
      <c r="I1891" s="180"/>
      <c r="J1891" s="180"/>
      <c r="K1891" s="180"/>
      <c r="L1891" s="180"/>
      <c r="M1891" s="180"/>
      <c r="N1891" s="180"/>
      <c r="O1891" s="180"/>
      <c r="P1891" s="180"/>
    </row>
    <row r="1892" spans="1:16" x14ac:dyDescent="0.45">
      <c r="A1892" s="180" t="s">
        <v>3</v>
      </c>
      <c r="B1892" s="73">
        <v>12</v>
      </c>
      <c r="C1892" s="73">
        <v>12</v>
      </c>
      <c r="D1892" s="180" t="s">
        <v>600</v>
      </c>
      <c r="E1892" s="39">
        <v>43578</v>
      </c>
      <c r="F1892" s="179">
        <v>0.79861111111111116</v>
      </c>
      <c r="G1892" s="180">
        <v>7</v>
      </c>
      <c r="H1892" s="180"/>
      <c r="I1892" s="180"/>
      <c r="J1892" s="180"/>
      <c r="K1892" s="180"/>
      <c r="L1892" s="180"/>
      <c r="M1892" s="180"/>
      <c r="N1892" s="180"/>
      <c r="O1892" s="180"/>
      <c r="P1892" s="180"/>
    </row>
    <row r="1893" spans="1:16" x14ac:dyDescent="0.45">
      <c r="A1893" s="180" t="s">
        <v>3</v>
      </c>
      <c r="B1893" s="73">
        <v>11</v>
      </c>
      <c r="C1893" s="73"/>
      <c r="D1893" s="180" t="s">
        <v>602</v>
      </c>
      <c r="E1893" s="39">
        <v>43578</v>
      </c>
      <c r="F1893" s="179">
        <v>0.8125</v>
      </c>
      <c r="G1893" s="180">
        <v>6</v>
      </c>
      <c r="H1893" s="180" t="s">
        <v>637</v>
      </c>
      <c r="I1893" s="180"/>
      <c r="J1893" s="180"/>
      <c r="K1893" s="180"/>
      <c r="L1893" s="180"/>
      <c r="M1893" s="180"/>
      <c r="N1893" s="180"/>
      <c r="O1893" s="180"/>
      <c r="P1893" s="180"/>
    </row>
    <row r="1894" spans="1:16" x14ac:dyDescent="0.45">
      <c r="A1894" s="180" t="s">
        <v>3</v>
      </c>
      <c r="B1894" s="73">
        <v>5</v>
      </c>
      <c r="C1894" s="73">
        <v>5</v>
      </c>
      <c r="D1894" s="180" t="s">
        <v>600</v>
      </c>
      <c r="E1894" s="39">
        <v>43583</v>
      </c>
      <c r="F1894" s="179">
        <v>0.42638888888888887</v>
      </c>
      <c r="G1894" s="180">
        <v>5</v>
      </c>
      <c r="H1894" s="180"/>
      <c r="I1894" s="180"/>
      <c r="J1894" s="180"/>
      <c r="K1894" s="180"/>
      <c r="L1894" s="180"/>
      <c r="M1894" s="180"/>
      <c r="N1894" s="180"/>
      <c r="O1894" s="180"/>
      <c r="P1894" s="180"/>
    </row>
    <row r="1895" spans="1:16" x14ac:dyDescent="0.45">
      <c r="A1895" s="180" t="s">
        <v>3</v>
      </c>
      <c r="B1895" s="73">
        <v>4</v>
      </c>
      <c r="C1895" s="73"/>
      <c r="D1895" s="180" t="s">
        <v>602</v>
      </c>
      <c r="E1895" s="39">
        <v>43583</v>
      </c>
      <c r="F1895" s="179">
        <v>0.4375</v>
      </c>
      <c r="G1895" s="180">
        <v>6</v>
      </c>
      <c r="H1895" s="180" t="s">
        <v>619</v>
      </c>
      <c r="I1895" s="180"/>
      <c r="J1895" s="180"/>
      <c r="K1895" s="180"/>
      <c r="L1895" s="180"/>
      <c r="M1895" s="180"/>
      <c r="N1895" s="180"/>
      <c r="O1895" s="180"/>
      <c r="P1895" s="180"/>
    </row>
    <row r="1896" spans="1:16" x14ac:dyDescent="0.45">
      <c r="A1896" s="180" t="s">
        <v>3</v>
      </c>
      <c r="B1896" s="73">
        <v>2</v>
      </c>
      <c r="C1896" s="73">
        <v>2</v>
      </c>
      <c r="D1896" s="180" t="s">
        <v>600</v>
      </c>
      <c r="E1896" s="39">
        <v>43587</v>
      </c>
      <c r="F1896" s="179">
        <v>0.4465277777777778</v>
      </c>
      <c r="G1896" s="180">
        <v>2</v>
      </c>
      <c r="H1896" s="180"/>
      <c r="I1896" s="180"/>
      <c r="J1896" s="180"/>
      <c r="K1896" s="180"/>
      <c r="L1896" s="180"/>
      <c r="M1896" s="180"/>
      <c r="N1896" s="180"/>
      <c r="O1896" s="180"/>
      <c r="P1896" s="180"/>
    </row>
    <row r="1897" spans="1:16" x14ac:dyDescent="0.45">
      <c r="A1897" s="180" t="s">
        <v>3</v>
      </c>
      <c r="B1897" s="73">
        <v>4</v>
      </c>
      <c r="C1897" s="73">
        <v>4</v>
      </c>
      <c r="D1897" s="180" t="s">
        <v>600</v>
      </c>
      <c r="E1897" s="39">
        <v>43588</v>
      </c>
      <c r="F1897" s="179">
        <v>0.67013888888888884</v>
      </c>
      <c r="G1897" s="180">
        <v>2</v>
      </c>
      <c r="H1897" s="180"/>
      <c r="I1897" s="180"/>
      <c r="J1897" s="180"/>
      <c r="K1897" s="180"/>
      <c r="L1897" s="180"/>
      <c r="M1897" s="180"/>
      <c r="N1897" s="180"/>
      <c r="O1897" s="180"/>
      <c r="P1897" s="180"/>
    </row>
    <row r="1898" spans="1:16" x14ac:dyDescent="0.45">
      <c r="A1898" s="180" t="s">
        <v>3</v>
      </c>
      <c r="B1898" s="73">
        <v>2</v>
      </c>
      <c r="C1898" s="73"/>
      <c r="D1898" s="180" t="s">
        <v>600</v>
      </c>
      <c r="E1898" s="39">
        <v>43588</v>
      </c>
      <c r="F1898" s="179">
        <v>0.45624999999999999</v>
      </c>
      <c r="G1898" s="180">
        <v>1</v>
      </c>
      <c r="H1898" s="180"/>
      <c r="I1898" s="180"/>
      <c r="J1898" s="180"/>
      <c r="K1898" s="180"/>
      <c r="L1898" s="180"/>
      <c r="M1898" s="180"/>
      <c r="N1898" s="180"/>
      <c r="O1898" s="180"/>
      <c r="P1898" s="180"/>
    </row>
    <row r="1899" spans="1:16" x14ac:dyDescent="0.45">
      <c r="A1899" s="180" t="s">
        <v>3</v>
      </c>
      <c r="B1899" s="73">
        <v>4</v>
      </c>
      <c r="C1899" s="73"/>
      <c r="D1899" s="180" t="s">
        <v>602</v>
      </c>
      <c r="E1899" s="39">
        <v>43588</v>
      </c>
      <c r="F1899" s="179">
        <v>0.67708333333333337</v>
      </c>
      <c r="G1899" s="180">
        <v>2</v>
      </c>
      <c r="H1899" s="180" t="s">
        <v>620</v>
      </c>
      <c r="I1899" s="180"/>
      <c r="J1899" s="180"/>
      <c r="K1899" s="180"/>
      <c r="L1899" s="180"/>
      <c r="M1899" s="180"/>
      <c r="N1899" s="180"/>
      <c r="O1899" s="180"/>
      <c r="P1899" s="180"/>
    </row>
    <row r="1900" spans="1:16" x14ac:dyDescent="0.45">
      <c r="A1900" s="180" t="s">
        <v>3</v>
      </c>
      <c r="B1900" s="73">
        <v>3</v>
      </c>
      <c r="C1900" s="73">
        <v>3</v>
      </c>
      <c r="D1900" s="180" t="s">
        <v>600</v>
      </c>
      <c r="E1900" s="39">
        <v>43589</v>
      </c>
      <c r="F1900" s="179">
        <v>0.67222222222222217</v>
      </c>
      <c r="G1900" s="180">
        <v>2</v>
      </c>
      <c r="H1900" s="180" t="s">
        <v>621</v>
      </c>
      <c r="I1900" s="180"/>
      <c r="J1900" s="180"/>
      <c r="K1900" s="180"/>
      <c r="L1900" s="180"/>
      <c r="M1900" s="180"/>
      <c r="N1900" s="180"/>
      <c r="O1900" s="180"/>
      <c r="P1900" s="180"/>
    </row>
    <row r="1901" spans="1:16" x14ac:dyDescent="0.45">
      <c r="A1901" s="180" t="s">
        <v>3</v>
      </c>
      <c r="B1901" s="73">
        <v>7</v>
      </c>
      <c r="C1901" s="73">
        <v>7</v>
      </c>
      <c r="D1901" s="180" t="s">
        <v>600</v>
      </c>
      <c r="E1901" s="39">
        <v>43590</v>
      </c>
      <c r="F1901" s="179">
        <v>0.51388888888888895</v>
      </c>
      <c r="G1901" s="180">
        <v>1</v>
      </c>
      <c r="H1901" s="180"/>
      <c r="I1901" s="180"/>
      <c r="J1901" s="180"/>
      <c r="K1901" s="180"/>
      <c r="L1901" s="180"/>
      <c r="M1901" s="180"/>
      <c r="N1901" s="180"/>
      <c r="O1901" s="180"/>
      <c r="P1901" s="180"/>
    </row>
    <row r="1902" spans="1:16" x14ac:dyDescent="0.45">
      <c r="A1902" s="180" t="s">
        <v>3</v>
      </c>
      <c r="B1902" s="73">
        <v>2</v>
      </c>
      <c r="C1902" s="73">
        <v>2</v>
      </c>
      <c r="D1902" s="180" t="s">
        <v>600</v>
      </c>
      <c r="E1902" s="39">
        <v>43592</v>
      </c>
      <c r="F1902" s="179">
        <v>0.60416666666666663</v>
      </c>
      <c r="G1902" s="180">
        <v>1</v>
      </c>
      <c r="H1902" s="180"/>
      <c r="I1902" s="180"/>
      <c r="J1902" s="180"/>
      <c r="K1902" s="180"/>
      <c r="L1902" s="180"/>
      <c r="M1902" s="180"/>
      <c r="N1902" s="180"/>
      <c r="O1902" s="180"/>
      <c r="P1902" s="180"/>
    </row>
    <row r="1903" spans="1:16" x14ac:dyDescent="0.45">
      <c r="A1903" s="180" t="s">
        <v>3</v>
      </c>
      <c r="B1903" s="73">
        <v>7</v>
      </c>
      <c r="C1903" s="73">
        <v>7</v>
      </c>
      <c r="D1903" s="180" t="s">
        <v>600</v>
      </c>
      <c r="E1903" s="39">
        <v>43593</v>
      </c>
      <c r="F1903" s="179">
        <v>0.79652777777777783</v>
      </c>
      <c r="G1903" s="180">
        <v>1</v>
      </c>
      <c r="H1903" s="180"/>
      <c r="I1903" s="180"/>
      <c r="J1903" s="180"/>
      <c r="K1903" s="180"/>
      <c r="L1903" s="180"/>
      <c r="M1903" s="180"/>
      <c r="N1903" s="180"/>
      <c r="O1903" s="180"/>
      <c r="P1903" s="180"/>
    </row>
    <row r="1904" spans="1:16" x14ac:dyDescent="0.45">
      <c r="A1904" s="180" t="s">
        <v>3</v>
      </c>
      <c r="B1904" s="73">
        <v>7</v>
      </c>
      <c r="C1904" s="73"/>
      <c r="D1904" s="180" t="s">
        <v>602</v>
      </c>
      <c r="E1904" s="39">
        <v>43593</v>
      </c>
      <c r="F1904" s="179">
        <v>0.80208333333333337</v>
      </c>
      <c r="G1904" s="180">
        <v>9</v>
      </c>
      <c r="H1904" s="180" t="s">
        <v>622</v>
      </c>
      <c r="I1904" s="180"/>
      <c r="J1904" s="180"/>
      <c r="K1904" s="180"/>
      <c r="L1904" s="180"/>
      <c r="M1904" s="180"/>
      <c r="N1904" s="180"/>
      <c r="O1904" s="180"/>
      <c r="P1904" s="180"/>
    </row>
    <row r="1905" spans="1:16" x14ac:dyDescent="0.45">
      <c r="A1905" s="180" t="s">
        <v>3</v>
      </c>
      <c r="B1905" s="73">
        <v>5</v>
      </c>
      <c r="C1905" s="73">
        <v>5</v>
      </c>
      <c r="D1905" s="180" t="s">
        <v>600</v>
      </c>
      <c r="E1905" s="39">
        <v>43594</v>
      </c>
      <c r="F1905" s="179">
        <v>0.37222222222222223</v>
      </c>
      <c r="G1905" s="180">
        <v>24</v>
      </c>
      <c r="H1905" s="180"/>
      <c r="I1905" s="180"/>
      <c r="J1905" s="180"/>
      <c r="K1905" s="180"/>
      <c r="L1905" s="180"/>
      <c r="M1905" s="180"/>
      <c r="N1905" s="180"/>
      <c r="O1905" s="180"/>
      <c r="P1905" s="180"/>
    </row>
    <row r="1906" spans="1:16" x14ac:dyDescent="0.45">
      <c r="A1906" s="180" t="s">
        <v>3</v>
      </c>
      <c r="B1906" s="73">
        <v>5</v>
      </c>
      <c r="C1906" s="73"/>
      <c r="D1906" s="180" t="s">
        <v>600</v>
      </c>
      <c r="E1906" s="39">
        <v>43594</v>
      </c>
      <c r="F1906" s="179">
        <v>0.37222222222222223</v>
      </c>
      <c r="G1906" s="180">
        <v>24</v>
      </c>
      <c r="H1906" s="180"/>
      <c r="I1906" s="180"/>
      <c r="J1906" s="180"/>
      <c r="K1906" s="180"/>
      <c r="L1906" s="180"/>
      <c r="M1906" s="180"/>
      <c r="N1906" s="180"/>
      <c r="O1906" s="180"/>
      <c r="P1906" s="180"/>
    </row>
    <row r="1907" spans="1:16" x14ac:dyDescent="0.45">
      <c r="A1907" s="180" t="s">
        <v>3</v>
      </c>
      <c r="B1907" s="73">
        <v>5</v>
      </c>
      <c r="C1907" s="73"/>
      <c r="D1907" s="180" t="s">
        <v>600</v>
      </c>
      <c r="E1907" s="39">
        <v>43594</v>
      </c>
      <c r="F1907" s="179">
        <v>0.37222222222222223</v>
      </c>
      <c r="G1907" s="180">
        <v>24</v>
      </c>
      <c r="H1907" s="180"/>
      <c r="I1907" s="180"/>
      <c r="J1907" s="180"/>
      <c r="K1907" s="180"/>
      <c r="L1907" s="180"/>
      <c r="M1907" s="180"/>
      <c r="N1907" s="180"/>
      <c r="O1907" s="180"/>
      <c r="P1907" s="180"/>
    </row>
    <row r="1908" spans="1:16" x14ac:dyDescent="0.45">
      <c r="A1908" s="180" t="s">
        <v>3</v>
      </c>
      <c r="B1908" s="73">
        <v>5</v>
      </c>
      <c r="C1908" s="73"/>
      <c r="D1908" s="180" t="s">
        <v>600</v>
      </c>
      <c r="E1908" s="39">
        <v>43594</v>
      </c>
      <c r="F1908" s="179">
        <v>0.37222222222222223</v>
      </c>
      <c r="G1908" s="180">
        <v>24</v>
      </c>
      <c r="H1908" s="180"/>
      <c r="I1908" s="180"/>
      <c r="J1908" s="180"/>
      <c r="K1908" s="180"/>
      <c r="L1908" s="180"/>
      <c r="M1908" s="180"/>
      <c r="N1908" s="180"/>
      <c r="O1908" s="180"/>
      <c r="P1908" s="180"/>
    </row>
    <row r="1909" spans="1:16" x14ac:dyDescent="0.45">
      <c r="A1909" s="180" t="s">
        <v>3</v>
      </c>
      <c r="B1909" s="73">
        <v>5</v>
      </c>
      <c r="C1909" s="73"/>
      <c r="D1909" s="180" t="s">
        <v>600</v>
      </c>
      <c r="E1909" s="39">
        <v>43594</v>
      </c>
      <c r="F1909" s="179">
        <v>0.37222222222222223</v>
      </c>
      <c r="G1909" s="180">
        <v>24</v>
      </c>
      <c r="H1909" s="180"/>
      <c r="I1909" s="180"/>
      <c r="J1909" s="180"/>
      <c r="K1909" s="180"/>
      <c r="L1909" s="180"/>
      <c r="M1909" s="180"/>
      <c r="N1909" s="180"/>
      <c r="O1909" s="180"/>
      <c r="P1909" s="180"/>
    </row>
    <row r="1910" spans="1:16" x14ac:dyDescent="0.45">
      <c r="A1910" s="180" t="s">
        <v>3</v>
      </c>
      <c r="B1910" s="73">
        <v>5</v>
      </c>
      <c r="C1910" s="73"/>
      <c r="D1910" s="180" t="s">
        <v>600</v>
      </c>
      <c r="E1910" s="39">
        <v>43594</v>
      </c>
      <c r="F1910" s="179">
        <v>0.37222222222222223</v>
      </c>
      <c r="G1910" s="180">
        <v>24</v>
      </c>
      <c r="H1910" s="180"/>
      <c r="I1910" s="180"/>
      <c r="J1910" s="180"/>
      <c r="K1910" s="180"/>
      <c r="L1910" s="180"/>
      <c r="M1910" s="180"/>
      <c r="N1910" s="180"/>
      <c r="O1910" s="180"/>
      <c r="P1910" s="180"/>
    </row>
    <row r="1911" spans="1:16" x14ac:dyDescent="0.45">
      <c r="A1911" s="180" t="s">
        <v>3</v>
      </c>
      <c r="B1911" s="73">
        <v>2</v>
      </c>
      <c r="C1911" s="73"/>
      <c r="D1911" s="180" t="s">
        <v>602</v>
      </c>
      <c r="E1911" s="39">
        <v>43594</v>
      </c>
      <c r="F1911" s="179">
        <v>0.5</v>
      </c>
      <c r="G1911" s="180">
        <v>1</v>
      </c>
      <c r="H1911" s="180"/>
      <c r="I1911" s="180"/>
      <c r="J1911" s="180"/>
      <c r="K1911" s="180"/>
      <c r="L1911" s="180"/>
      <c r="M1911" s="180"/>
      <c r="N1911" s="180"/>
      <c r="O1911" s="180"/>
      <c r="P1911" s="180"/>
    </row>
    <row r="1912" spans="1:16" x14ac:dyDescent="0.45">
      <c r="A1912" s="180" t="s">
        <v>3</v>
      </c>
      <c r="B1912" s="73">
        <v>2</v>
      </c>
      <c r="C1912" s="73">
        <v>2</v>
      </c>
      <c r="D1912" s="180" t="s">
        <v>600</v>
      </c>
      <c r="E1912" s="39">
        <v>43595</v>
      </c>
      <c r="F1912" s="179">
        <v>0.37361111111111112</v>
      </c>
      <c r="G1912" s="180">
        <v>24</v>
      </c>
      <c r="H1912" s="180"/>
      <c r="I1912" s="180"/>
      <c r="J1912" s="180"/>
      <c r="K1912" s="180"/>
      <c r="L1912" s="180"/>
      <c r="M1912" s="180"/>
      <c r="N1912" s="180"/>
      <c r="O1912" s="180"/>
      <c r="P1912" s="180"/>
    </row>
    <row r="1913" spans="1:16" x14ac:dyDescent="0.45">
      <c r="A1913" s="180" t="s">
        <v>3</v>
      </c>
      <c r="B1913" s="73">
        <v>2</v>
      </c>
      <c r="C1913" s="73"/>
      <c r="D1913" s="180" t="s">
        <v>600</v>
      </c>
      <c r="E1913" s="39">
        <v>43595</v>
      </c>
      <c r="F1913" s="179">
        <v>0.37361111111111112</v>
      </c>
      <c r="G1913" s="180">
        <v>24</v>
      </c>
      <c r="H1913" s="180"/>
      <c r="I1913" s="180"/>
      <c r="J1913" s="180"/>
      <c r="K1913" s="180"/>
      <c r="L1913" s="180"/>
      <c r="M1913" s="180"/>
      <c r="N1913" s="180"/>
      <c r="O1913" s="180"/>
      <c r="P1913" s="180"/>
    </row>
    <row r="1914" spans="1:16" x14ac:dyDescent="0.45">
      <c r="A1914" s="180" t="s">
        <v>3</v>
      </c>
      <c r="B1914" s="73">
        <v>2</v>
      </c>
      <c r="C1914" s="73"/>
      <c r="D1914" s="180" t="s">
        <v>600</v>
      </c>
      <c r="E1914" s="39">
        <v>43595</v>
      </c>
      <c r="F1914" s="179">
        <v>0.37361111111111112</v>
      </c>
      <c r="G1914" s="180">
        <v>24</v>
      </c>
      <c r="H1914" s="180"/>
      <c r="I1914" s="180"/>
      <c r="J1914" s="180"/>
      <c r="K1914" s="180"/>
      <c r="L1914" s="180"/>
      <c r="M1914" s="180"/>
      <c r="N1914" s="180"/>
      <c r="O1914" s="180"/>
      <c r="P1914" s="180"/>
    </row>
    <row r="1915" spans="1:16" x14ac:dyDescent="0.45">
      <c r="A1915" s="180" t="s">
        <v>3</v>
      </c>
      <c r="B1915" s="73">
        <v>1</v>
      </c>
      <c r="C1915" s="73"/>
      <c r="D1915" s="180" t="s">
        <v>600</v>
      </c>
      <c r="E1915" s="39">
        <v>43595</v>
      </c>
      <c r="F1915" s="179">
        <v>0.56666666666666665</v>
      </c>
      <c r="G1915" s="180">
        <v>3</v>
      </c>
      <c r="H1915" s="180"/>
      <c r="I1915" s="180"/>
      <c r="J1915" s="180"/>
      <c r="K1915" s="180"/>
      <c r="L1915" s="180"/>
      <c r="M1915" s="180"/>
      <c r="N1915" s="180"/>
      <c r="O1915" s="180"/>
      <c r="P1915" s="180"/>
    </row>
    <row r="1916" spans="1:16" x14ac:dyDescent="0.45">
      <c r="A1916" s="180" t="s">
        <v>3</v>
      </c>
      <c r="B1916" s="73">
        <v>2</v>
      </c>
      <c r="C1916" s="73"/>
      <c r="D1916" s="180" t="s">
        <v>600</v>
      </c>
      <c r="E1916" s="39">
        <v>43595</v>
      </c>
      <c r="F1916" s="179">
        <v>0.61249999999999993</v>
      </c>
      <c r="G1916" s="180">
        <v>2</v>
      </c>
      <c r="H1916" s="180" t="s">
        <v>612</v>
      </c>
      <c r="I1916" s="180"/>
      <c r="J1916" s="180"/>
      <c r="K1916" s="180"/>
      <c r="L1916" s="180"/>
      <c r="M1916" s="180"/>
      <c r="N1916" s="180"/>
      <c r="O1916" s="180"/>
      <c r="P1916" s="180"/>
    </row>
    <row r="1917" spans="1:16" x14ac:dyDescent="0.45">
      <c r="A1917" s="180" t="s">
        <v>3</v>
      </c>
      <c r="B1917" s="73">
        <v>2</v>
      </c>
      <c r="C1917" s="73"/>
      <c r="D1917" s="180" t="s">
        <v>600</v>
      </c>
      <c r="E1917" s="39">
        <v>43595</v>
      </c>
      <c r="F1917" s="179">
        <v>0.61249999999999993</v>
      </c>
      <c r="G1917" s="180">
        <v>2</v>
      </c>
      <c r="H1917" s="180" t="s">
        <v>612</v>
      </c>
      <c r="I1917" s="180"/>
      <c r="J1917" s="180"/>
      <c r="K1917" s="180"/>
      <c r="L1917" s="180"/>
      <c r="M1917" s="180"/>
      <c r="N1917" s="180"/>
      <c r="O1917" s="180"/>
      <c r="P1917" s="180"/>
    </row>
    <row r="1918" spans="1:16" x14ac:dyDescent="0.45">
      <c r="A1918" s="180" t="s">
        <v>3</v>
      </c>
      <c r="B1918" s="73">
        <v>1</v>
      </c>
      <c r="C1918" s="73"/>
      <c r="D1918" s="180" t="s">
        <v>600</v>
      </c>
      <c r="E1918" s="39">
        <v>43595</v>
      </c>
      <c r="F1918" s="179">
        <v>0.56666666666666665</v>
      </c>
      <c r="G1918" s="180">
        <v>3</v>
      </c>
      <c r="H1918" s="180"/>
      <c r="I1918" s="180"/>
      <c r="J1918" s="180"/>
      <c r="K1918" s="180"/>
      <c r="L1918" s="180"/>
      <c r="M1918" s="180"/>
      <c r="N1918" s="180"/>
      <c r="O1918" s="180"/>
      <c r="P1918" s="180"/>
    </row>
    <row r="1919" spans="1:16" x14ac:dyDescent="0.45">
      <c r="A1919" s="180" t="s">
        <v>3</v>
      </c>
      <c r="B1919" s="73">
        <v>2</v>
      </c>
      <c r="C1919" s="73"/>
      <c r="D1919" s="180" t="s">
        <v>600</v>
      </c>
      <c r="E1919" s="39">
        <v>43595</v>
      </c>
      <c r="F1919" s="179">
        <v>0.37361111111111112</v>
      </c>
      <c r="G1919" s="180">
        <v>24</v>
      </c>
      <c r="H1919" s="180"/>
      <c r="I1919" s="180"/>
      <c r="J1919" s="180"/>
      <c r="K1919" s="180"/>
      <c r="L1919" s="180"/>
      <c r="M1919" s="180"/>
      <c r="N1919" s="180"/>
      <c r="O1919" s="180"/>
      <c r="P1919" s="180"/>
    </row>
    <row r="1920" spans="1:16" x14ac:dyDescent="0.45">
      <c r="A1920" s="180" t="s">
        <v>3</v>
      </c>
      <c r="B1920" s="73">
        <v>2</v>
      </c>
      <c r="C1920" s="73"/>
      <c r="D1920" s="180" t="s">
        <v>600</v>
      </c>
      <c r="E1920" s="39">
        <v>43595</v>
      </c>
      <c r="F1920" s="179">
        <v>0.37361111111111112</v>
      </c>
      <c r="G1920" s="180">
        <v>24</v>
      </c>
      <c r="H1920" s="180"/>
      <c r="I1920" s="180"/>
      <c r="J1920" s="180"/>
      <c r="K1920" s="180"/>
      <c r="L1920" s="180"/>
      <c r="M1920" s="180"/>
      <c r="N1920" s="180"/>
      <c r="O1920" s="180"/>
      <c r="P1920" s="180"/>
    </row>
    <row r="1921" spans="1:16" x14ac:dyDescent="0.45">
      <c r="A1921" s="180" t="s">
        <v>3</v>
      </c>
      <c r="B1921" s="73">
        <v>1</v>
      </c>
      <c r="C1921" s="73"/>
      <c r="D1921" s="180" t="s">
        <v>600</v>
      </c>
      <c r="E1921" s="39">
        <v>43595</v>
      </c>
      <c r="F1921" s="179">
        <v>0.64583333333333337</v>
      </c>
      <c r="G1921" s="180">
        <v>4</v>
      </c>
      <c r="H1921" s="180" t="s">
        <v>623</v>
      </c>
      <c r="I1921" s="180"/>
      <c r="J1921" s="180"/>
      <c r="K1921" s="180"/>
      <c r="L1921" s="180"/>
      <c r="M1921" s="180"/>
      <c r="N1921" s="180"/>
      <c r="O1921" s="180"/>
      <c r="P1921" s="180"/>
    </row>
    <row r="1922" spans="1:16" x14ac:dyDescent="0.45">
      <c r="A1922" s="180" t="s">
        <v>3</v>
      </c>
      <c r="B1922" s="73">
        <v>1</v>
      </c>
      <c r="C1922" s="73"/>
      <c r="D1922" s="180" t="s">
        <v>600</v>
      </c>
      <c r="E1922" s="39">
        <v>43595</v>
      </c>
      <c r="F1922" s="179">
        <v>0.78055555555555556</v>
      </c>
      <c r="G1922" s="180">
        <v>1</v>
      </c>
      <c r="H1922" s="180"/>
      <c r="I1922" s="180"/>
      <c r="J1922" s="180"/>
      <c r="K1922" s="180"/>
      <c r="L1922" s="180"/>
      <c r="M1922" s="180"/>
      <c r="N1922" s="180"/>
      <c r="O1922" s="180"/>
      <c r="P1922" s="180"/>
    </row>
    <row r="1923" spans="1:16" x14ac:dyDescent="0.45">
      <c r="A1923" s="180" t="s">
        <v>3</v>
      </c>
      <c r="B1923" s="73">
        <v>2</v>
      </c>
      <c r="C1923" s="73"/>
      <c r="D1923" s="180" t="s">
        <v>600</v>
      </c>
      <c r="E1923" s="39">
        <v>43595</v>
      </c>
      <c r="F1923" s="179">
        <v>0.37361111111111112</v>
      </c>
      <c r="G1923" s="180">
        <v>24</v>
      </c>
      <c r="H1923" s="180"/>
      <c r="I1923" s="180"/>
      <c r="J1923" s="180"/>
      <c r="K1923" s="180"/>
      <c r="L1923" s="180"/>
      <c r="M1923" s="180"/>
      <c r="N1923" s="180"/>
      <c r="O1923" s="180"/>
      <c r="P1923" s="180"/>
    </row>
    <row r="1924" spans="1:16" x14ac:dyDescent="0.45">
      <c r="A1924" s="180" t="s">
        <v>3</v>
      </c>
      <c r="B1924" s="73">
        <v>1</v>
      </c>
      <c r="C1924" s="73"/>
      <c r="D1924" s="180" t="s">
        <v>600</v>
      </c>
      <c r="E1924" s="39">
        <v>43595</v>
      </c>
      <c r="F1924" s="179">
        <v>0.56666666666666665</v>
      </c>
      <c r="G1924" s="180">
        <v>3</v>
      </c>
      <c r="H1924" s="180"/>
      <c r="I1924" s="180"/>
      <c r="J1924" s="180"/>
      <c r="K1924" s="180"/>
      <c r="L1924" s="180"/>
      <c r="M1924" s="180"/>
      <c r="N1924" s="180"/>
      <c r="O1924" s="180"/>
      <c r="P1924" s="180"/>
    </row>
    <row r="1925" spans="1:16" x14ac:dyDescent="0.45">
      <c r="A1925" s="180" t="s">
        <v>3</v>
      </c>
      <c r="B1925" s="73">
        <v>2</v>
      </c>
      <c r="C1925" s="73"/>
      <c r="D1925" s="180" t="s">
        <v>602</v>
      </c>
      <c r="E1925" s="39">
        <v>43595</v>
      </c>
      <c r="F1925" s="179">
        <v>0.43472222222222223</v>
      </c>
      <c r="G1925" s="180">
        <v>1</v>
      </c>
      <c r="H1925" s="180"/>
      <c r="I1925" s="180"/>
      <c r="J1925" s="180"/>
      <c r="K1925" s="180"/>
      <c r="L1925" s="180"/>
      <c r="M1925" s="180"/>
      <c r="N1925" s="180"/>
      <c r="O1925" s="180"/>
      <c r="P1925" s="180"/>
    </row>
    <row r="1926" spans="1:16" x14ac:dyDescent="0.45">
      <c r="A1926" s="180" t="s">
        <v>3</v>
      </c>
      <c r="B1926" s="73">
        <v>3</v>
      </c>
      <c r="C1926" s="73"/>
      <c r="D1926" s="180" t="s">
        <v>624</v>
      </c>
      <c r="E1926" s="39">
        <v>43596</v>
      </c>
      <c r="F1926" s="179">
        <v>0.50486111111111109</v>
      </c>
      <c r="G1926" s="180">
        <v>1</v>
      </c>
      <c r="H1926" s="180"/>
      <c r="I1926" s="180"/>
      <c r="J1926" s="180"/>
      <c r="K1926" s="180"/>
      <c r="L1926" s="180"/>
      <c r="M1926" s="180"/>
      <c r="N1926" s="180"/>
      <c r="O1926" s="180"/>
      <c r="P1926" s="180"/>
    </row>
    <row r="1927" spans="1:16" x14ac:dyDescent="0.45">
      <c r="A1927" s="180" t="s">
        <v>3</v>
      </c>
      <c r="B1927" s="73">
        <v>3</v>
      </c>
      <c r="C1927" s="73"/>
      <c r="D1927" s="180" t="s">
        <v>624</v>
      </c>
      <c r="E1927" s="39">
        <v>43596</v>
      </c>
      <c r="F1927" s="179">
        <v>0.50486111111111109</v>
      </c>
      <c r="G1927" s="180">
        <v>1</v>
      </c>
      <c r="H1927" s="180"/>
      <c r="I1927" s="180"/>
      <c r="J1927" s="180"/>
      <c r="K1927" s="180"/>
      <c r="L1927" s="180"/>
      <c r="M1927" s="180"/>
      <c r="N1927" s="180"/>
      <c r="O1927" s="180"/>
      <c r="P1927" s="180"/>
    </row>
    <row r="1928" spans="1:16" x14ac:dyDescent="0.45">
      <c r="A1928" s="180" t="s">
        <v>3</v>
      </c>
      <c r="B1928" s="73">
        <v>4</v>
      </c>
      <c r="C1928" s="73"/>
      <c r="D1928" s="180" t="s">
        <v>600</v>
      </c>
      <c r="E1928" s="39">
        <v>43596</v>
      </c>
      <c r="F1928" s="179">
        <v>0.38055555555555554</v>
      </c>
      <c r="G1928" s="180">
        <v>20</v>
      </c>
      <c r="H1928" s="180" t="s">
        <v>604</v>
      </c>
      <c r="I1928" s="180"/>
      <c r="J1928" s="180"/>
      <c r="K1928" s="180"/>
      <c r="L1928" s="180"/>
      <c r="M1928" s="180"/>
      <c r="N1928" s="180"/>
      <c r="O1928" s="180"/>
      <c r="P1928" s="180"/>
    </row>
    <row r="1929" spans="1:16" x14ac:dyDescent="0.45">
      <c r="A1929" s="180" t="s">
        <v>3</v>
      </c>
      <c r="B1929" s="73">
        <v>2</v>
      </c>
      <c r="C1929" s="73"/>
      <c r="D1929" s="180" t="s">
        <v>600</v>
      </c>
      <c r="E1929" s="39">
        <v>43596</v>
      </c>
      <c r="F1929" s="179">
        <v>0.28125</v>
      </c>
      <c r="G1929" s="180">
        <v>2</v>
      </c>
      <c r="H1929" s="180" t="s">
        <v>613</v>
      </c>
      <c r="I1929" s="180"/>
      <c r="J1929" s="180"/>
      <c r="K1929" s="180"/>
      <c r="L1929" s="180"/>
      <c r="M1929" s="180"/>
      <c r="N1929" s="180"/>
      <c r="O1929" s="180"/>
      <c r="P1929" s="180"/>
    </row>
    <row r="1930" spans="1:16" x14ac:dyDescent="0.45">
      <c r="A1930" s="180" t="s">
        <v>3</v>
      </c>
      <c r="B1930" s="73">
        <v>3</v>
      </c>
      <c r="C1930" s="73"/>
      <c r="D1930" s="180" t="s">
        <v>600</v>
      </c>
      <c r="E1930" s="39">
        <v>43596</v>
      </c>
      <c r="F1930" s="179">
        <v>0.38194444444444442</v>
      </c>
      <c r="G1930" s="180">
        <v>2</v>
      </c>
      <c r="H1930" s="180"/>
      <c r="I1930" s="180"/>
      <c r="J1930" s="180"/>
      <c r="K1930" s="180"/>
      <c r="L1930" s="180"/>
      <c r="M1930" s="180"/>
      <c r="N1930" s="180"/>
      <c r="O1930" s="180"/>
      <c r="P1930" s="180"/>
    </row>
    <row r="1931" spans="1:16" x14ac:dyDescent="0.45">
      <c r="A1931" s="180" t="s">
        <v>3</v>
      </c>
      <c r="B1931" s="73">
        <v>1</v>
      </c>
      <c r="C1931" s="73"/>
      <c r="D1931" s="180" t="s">
        <v>600</v>
      </c>
      <c r="E1931" s="39">
        <v>43596</v>
      </c>
      <c r="F1931" s="179">
        <v>0.3125</v>
      </c>
      <c r="G1931" s="180">
        <v>4</v>
      </c>
      <c r="H1931" s="180" t="s">
        <v>629</v>
      </c>
      <c r="I1931" s="180"/>
      <c r="J1931" s="180"/>
      <c r="K1931" s="180"/>
      <c r="L1931" s="180"/>
      <c r="M1931" s="180"/>
      <c r="N1931" s="180"/>
      <c r="O1931" s="180"/>
      <c r="P1931" s="180"/>
    </row>
    <row r="1932" spans="1:16" x14ac:dyDescent="0.45">
      <c r="A1932" s="180" t="s">
        <v>3</v>
      </c>
      <c r="B1932" s="73">
        <v>2</v>
      </c>
      <c r="C1932" s="73"/>
      <c r="D1932" s="180" t="s">
        <v>600</v>
      </c>
      <c r="E1932" s="39">
        <v>43596</v>
      </c>
      <c r="F1932" s="179">
        <v>0.4458333333333333</v>
      </c>
      <c r="G1932" s="180">
        <v>1</v>
      </c>
      <c r="H1932" s="180"/>
      <c r="I1932" s="180"/>
      <c r="J1932" s="180"/>
      <c r="K1932" s="180"/>
      <c r="L1932" s="180"/>
      <c r="M1932" s="180"/>
      <c r="N1932" s="180"/>
      <c r="O1932" s="180"/>
      <c r="P1932" s="180"/>
    </row>
    <row r="1933" spans="1:16" x14ac:dyDescent="0.45">
      <c r="A1933" s="180" t="s">
        <v>3</v>
      </c>
      <c r="B1933" s="73">
        <v>1</v>
      </c>
      <c r="C1933" s="73"/>
      <c r="D1933" s="180" t="s">
        <v>602</v>
      </c>
      <c r="E1933" s="39">
        <v>43596</v>
      </c>
      <c r="F1933" s="179">
        <v>0.33333333333333331</v>
      </c>
      <c r="G1933" s="180">
        <v>2</v>
      </c>
      <c r="H1933" s="180"/>
      <c r="I1933" s="180"/>
      <c r="J1933" s="180"/>
      <c r="K1933" s="180"/>
      <c r="L1933" s="180"/>
      <c r="M1933" s="180"/>
      <c r="N1933" s="180"/>
      <c r="O1933" s="180"/>
      <c r="P1933" s="180"/>
    </row>
    <row r="1934" spans="1:16" x14ac:dyDescent="0.45">
      <c r="A1934" s="180" t="s">
        <v>3</v>
      </c>
      <c r="B1934" s="73">
        <v>10</v>
      </c>
      <c r="C1934" s="73">
        <v>10</v>
      </c>
      <c r="D1934" s="180" t="s">
        <v>602</v>
      </c>
      <c r="E1934" s="39">
        <v>43596</v>
      </c>
      <c r="F1934" s="179">
        <v>0.33749999999999997</v>
      </c>
      <c r="G1934" s="180">
        <v>1</v>
      </c>
      <c r="H1934" s="180"/>
      <c r="I1934" s="180"/>
      <c r="J1934" s="180"/>
      <c r="K1934" s="180"/>
      <c r="L1934" s="180"/>
      <c r="M1934" s="180"/>
      <c r="N1934" s="180"/>
      <c r="O1934" s="180"/>
      <c r="P1934" s="180"/>
    </row>
    <row r="1935" spans="1:16" x14ac:dyDescent="0.45">
      <c r="A1935" s="180" t="s">
        <v>3</v>
      </c>
      <c r="B1935" s="73">
        <v>10</v>
      </c>
      <c r="C1935" s="73"/>
      <c r="D1935" s="180" t="s">
        <v>602</v>
      </c>
      <c r="E1935" s="39">
        <v>43596</v>
      </c>
      <c r="F1935" s="179">
        <v>0.33749999999999997</v>
      </c>
      <c r="G1935" s="180">
        <v>1</v>
      </c>
      <c r="H1935" s="180"/>
      <c r="I1935" s="180"/>
      <c r="J1935" s="180"/>
      <c r="K1935" s="180"/>
      <c r="L1935" s="180"/>
      <c r="M1935" s="180"/>
      <c r="N1935" s="180"/>
      <c r="O1935" s="180"/>
      <c r="P1935" s="180"/>
    </row>
    <row r="1936" spans="1:16" x14ac:dyDescent="0.45">
      <c r="A1936" s="180" t="s">
        <v>3</v>
      </c>
      <c r="B1936" s="73">
        <v>1</v>
      </c>
      <c r="C1936" s="73"/>
      <c r="D1936" s="180" t="s">
        <v>638</v>
      </c>
      <c r="E1936" s="39">
        <v>43597</v>
      </c>
      <c r="F1936" s="179">
        <v>0.74791666666666667</v>
      </c>
      <c r="G1936" s="180">
        <v>1</v>
      </c>
      <c r="H1936" s="180"/>
      <c r="I1936" s="180"/>
      <c r="J1936" s="180"/>
      <c r="K1936" s="180"/>
      <c r="L1936" s="180"/>
      <c r="M1936" s="180"/>
      <c r="N1936" s="180"/>
      <c r="O1936" s="180"/>
      <c r="P1936" s="180"/>
    </row>
    <row r="1937" spans="1:16" x14ac:dyDescent="0.45">
      <c r="A1937" s="180" t="s">
        <v>3</v>
      </c>
      <c r="B1937" s="73">
        <v>1</v>
      </c>
      <c r="C1937" s="73"/>
      <c r="D1937" s="180" t="s">
        <v>625</v>
      </c>
      <c r="E1937" s="39">
        <v>43597</v>
      </c>
      <c r="F1937" s="179">
        <v>0.43958333333333338</v>
      </c>
      <c r="G1937" s="180">
        <v>2</v>
      </c>
      <c r="H1937" s="180"/>
      <c r="I1937" s="180"/>
      <c r="J1937" s="180"/>
      <c r="K1937" s="180"/>
      <c r="L1937" s="180"/>
      <c r="M1937" s="180"/>
      <c r="N1937" s="180"/>
      <c r="O1937" s="180"/>
      <c r="P1937" s="180"/>
    </row>
    <row r="1938" spans="1:16" x14ac:dyDescent="0.45">
      <c r="A1938" s="180" t="s">
        <v>3</v>
      </c>
      <c r="B1938" s="73">
        <v>2</v>
      </c>
      <c r="C1938" s="73"/>
      <c r="D1938" s="180" t="s">
        <v>600</v>
      </c>
      <c r="E1938" s="39">
        <v>43597</v>
      </c>
      <c r="F1938" s="179">
        <v>0.4826388888888889</v>
      </c>
      <c r="G1938" s="180">
        <v>10</v>
      </c>
      <c r="H1938" s="180" t="s">
        <v>614</v>
      </c>
      <c r="I1938" s="180"/>
      <c r="J1938" s="180"/>
      <c r="K1938" s="180"/>
      <c r="L1938" s="180"/>
      <c r="M1938" s="180"/>
      <c r="N1938" s="180"/>
      <c r="O1938" s="180"/>
      <c r="P1938" s="180"/>
    </row>
    <row r="1939" spans="1:16" x14ac:dyDescent="0.45">
      <c r="A1939" s="180" t="s">
        <v>3</v>
      </c>
      <c r="B1939" s="73">
        <v>4</v>
      </c>
      <c r="C1939" s="73"/>
      <c r="D1939" s="180" t="s">
        <v>600</v>
      </c>
      <c r="E1939" s="39">
        <v>43597</v>
      </c>
      <c r="F1939" s="179">
        <v>0.45763888888888887</v>
      </c>
      <c r="G1939" s="180">
        <v>3</v>
      </c>
      <c r="H1939" s="180"/>
      <c r="I1939" s="180"/>
      <c r="J1939" s="180"/>
      <c r="K1939" s="180"/>
      <c r="L1939" s="180"/>
      <c r="M1939" s="180"/>
      <c r="N1939" s="180"/>
      <c r="O1939" s="180"/>
      <c r="P1939" s="180"/>
    </row>
    <row r="1940" spans="1:16" x14ac:dyDescent="0.45">
      <c r="A1940" s="180" t="s">
        <v>3</v>
      </c>
      <c r="B1940" s="73">
        <v>16</v>
      </c>
      <c r="C1940" s="73">
        <v>16</v>
      </c>
      <c r="D1940" s="180" t="s">
        <v>600</v>
      </c>
      <c r="E1940" s="39">
        <v>43597</v>
      </c>
      <c r="F1940" s="179">
        <v>0.28819444444444448</v>
      </c>
      <c r="G1940" s="180">
        <v>6</v>
      </c>
      <c r="H1940" s="180" t="s">
        <v>609</v>
      </c>
      <c r="I1940" s="180"/>
      <c r="J1940" s="180"/>
      <c r="K1940" s="180"/>
      <c r="L1940" s="180"/>
      <c r="M1940" s="180"/>
      <c r="N1940" s="180"/>
      <c r="O1940" s="180"/>
      <c r="P1940" s="180"/>
    </row>
    <row r="1941" spans="1:16" x14ac:dyDescent="0.45">
      <c r="A1941" s="180" t="s">
        <v>3</v>
      </c>
      <c r="B1941" s="73">
        <v>3</v>
      </c>
      <c r="C1941" s="73"/>
      <c r="D1941" s="180" t="s">
        <v>600</v>
      </c>
      <c r="E1941" s="39">
        <v>43597</v>
      </c>
      <c r="F1941" s="179">
        <v>0.46527777777777773</v>
      </c>
      <c r="G1941" s="180">
        <v>1</v>
      </c>
      <c r="H1941" s="180" t="s">
        <v>610</v>
      </c>
      <c r="I1941" s="180"/>
      <c r="J1941" s="180"/>
      <c r="K1941" s="180"/>
      <c r="L1941" s="180"/>
      <c r="M1941" s="180"/>
      <c r="N1941" s="180"/>
      <c r="O1941" s="180"/>
      <c r="P1941" s="180"/>
    </row>
    <row r="1942" spans="1:16" x14ac:dyDescent="0.45">
      <c r="A1942" s="180" t="s">
        <v>3</v>
      </c>
      <c r="B1942" s="73">
        <v>4</v>
      </c>
      <c r="C1942" s="73"/>
      <c r="D1942" s="180" t="s">
        <v>600</v>
      </c>
      <c r="E1942" s="39">
        <v>43597</v>
      </c>
      <c r="F1942" s="179">
        <v>0.45833333333333331</v>
      </c>
      <c r="G1942" s="180">
        <v>3</v>
      </c>
      <c r="H1942" s="180"/>
      <c r="I1942" s="180"/>
      <c r="J1942" s="180"/>
      <c r="K1942" s="180"/>
      <c r="L1942" s="180"/>
      <c r="M1942" s="180"/>
      <c r="N1942" s="180"/>
      <c r="O1942" s="180"/>
      <c r="P1942" s="180"/>
    </row>
    <row r="1943" spans="1:16" x14ac:dyDescent="0.45">
      <c r="A1943" s="180" t="s">
        <v>3</v>
      </c>
      <c r="B1943" s="73">
        <v>2</v>
      </c>
      <c r="C1943" s="73"/>
      <c r="D1943" s="180" t="s">
        <v>600</v>
      </c>
      <c r="E1943" s="39">
        <v>43597</v>
      </c>
      <c r="F1943" s="179">
        <v>0.4375</v>
      </c>
      <c r="G1943" s="180">
        <v>4</v>
      </c>
      <c r="H1943" s="180" t="s">
        <v>633</v>
      </c>
      <c r="I1943" s="180"/>
      <c r="J1943" s="180"/>
      <c r="K1943" s="180"/>
      <c r="L1943" s="180"/>
      <c r="M1943" s="180"/>
      <c r="N1943" s="180"/>
      <c r="O1943" s="180"/>
      <c r="P1943" s="180"/>
    </row>
    <row r="1944" spans="1:16" x14ac:dyDescent="0.45">
      <c r="A1944" s="180" t="s">
        <v>3</v>
      </c>
      <c r="B1944" s="73">
        <v>1</v>
      </c>
      <c r="C1944" s="73"/>
      <c r="D1944" s="180" t="s">
        <v>600</v>
      </c>
      <c r="E1944" s="39">
        <v>43597</v>
      </c>
      <c r="F1944" s="179">
        <v>0.45555555555555555</v>
      </c>
      <c r="G1944" s="180">
        <v>4</v>
      </c>
      <c r="H1944" s="180"/>
      <c r="I1944" s="180"/>
      <c r="J1944" s="180"/>
      <c r="K1944" s="180"/>
      <c r="L1944" s="180"/>
      <c r="M1944" s="180"/>
      <c r="N1944" s="180"/>
      <c r="O1944" s="180"/>
      <c r="P1944" s="180"/>
    </row>
    <row r="1945" spans="1:16" x14ac:dyDescent="0.45">
      <c r="A1945" s="180" t="s">
        <v>3</v>
      </c>
      <c r="B1945" s="73">
        <v>1</v>
      </c>
      <c r="C1945" s="73"/>
      <c r="D1945" s="180" t="s">
        <v>600</v>
      </c>
      <c r="E1945" s="39">
        <v>43597</v>
      </c>
      <c r="F1945" s="179">
        <v>0.5083333333333333</v>
      </c>
      <c r="G1945" s="180">
        <v>1</v>
      </c>
      <c r="H1945" s="180"/>
      <c r="I1945" s="180"/>
      <c r="J1945" s="180"/>
      <c r="K1945" s="180"/>
      <c r="L1945" s="180"/>
      <c r="M1945" s="180"/>
      <c r="N1945" s="180"/>
      <c r="O1945" s="180"/>
      <c r="P1945" s="180"/>
    </row>
    <row r="1946" spans="1:16" x14ac:dyDescent="0.45">
      <c r="A1946" s="180" t="s">
        <v>3</v>
      </c>
      <c r="B1946" s="73">
        <v>6</v>
      </c>
      <c r="C1946" s="73"/>
      <c r="D1946" s="180" t="s">
        <v>626</v>
      </c>
      <c r="E1946" s="39">
        <v>43597</v>
      </c>
      <c r="F1946" s="179">
        <v>0.4548611111111111</v>
      </c>
      <c r="G1946" s="180">
        <v>2</v>
      </c>
      <c r="H1946" s="180"/>
      <c r="I1946" s="180"/>
      <c r="J1946" s="180"/>
      <c r="K1946" s="180"/>
      <c r="L1946" s="180"/>
      <c r="M1946" s="180"/>
      <c r="N1946" s="180"/>
      <c r="O1946" s="180"/>
      <c r="P1946" s="180"/>
    </row>
    <row r="1947" spans="1:16" x14ac:dyDescent="0.45">
      <c r="A1947" s="180" t="s">
        <v>3</v>
      </c>
      <c r="B1947" s="73">
        <v>3</v>
      </c>
      <c r="C1947" s="73"/>
      <c r="D1947" s="180" t="s">
        <v>602</v>
      </c>
      <c r="E1947" s="39">
        <v>43597</v>
      </c>
      <c r="F1947" s="179">
        <v>0.49027777777777781</v>
      </c>
      <c r="G1947" s="180">
        <v>9</v>
      </c>
      <c r="H1947" s="180" t="s">
        <v>616</v>
      </c>
      <c r="I1947" s="180"/>
      <c r="J1947" s="180"/>
      <c r="K1947" s="180"/>
      <c r="L1947" s="180"/>
      <c r="M1947" s="180"/>
      <c r="N1947" s="180"/>
      <c r="O1947" s="180"/>
      <c r="P1947" s="180"/>
    </row>
    <row r="1948" spans="1:16" x14ac:dyDescent="0.45">
      <c r="A1948" s="180" t="s">
        <v>3</v>
      </c>
      <c r="B1948" s="73">
        <v>1</v>
      </c>
      <c r="C1948" s="73"/>
      <c r="D1948" s="180" t="s">
        <v>639</v>
      </c>
      <c r="E1948" s="39">
        <v>43597</v>
      </c>
      <c r="F1948" s="179">
        <v>0.34027777777777773</v>
      </c>
      <c r="G1948" s="180">
        <v>2</v>
      </c>
      <c r="H1948" s="180"/>
      <c r="I1948" s="180"/>
      <c r="J1948" s="180"/>
      <c r="K1948" s="180"/>
      <c r="L1948" s="180"/>
      <c r="M1948" s="180"/>
      <c r="N1948" s="180"/>
      <c r="O1948" s="180"/>
      <c r="P1948" s="180"/>
    </row>
    <row r="1949" spans="1:16" x14ac:dyDescent="0.45">
      <c r="A1949" s="180" t="s">
        <v>3</v>
      </c>
      <c r="B1949" s="73">
        <v>5</v>
      </c>
      <c r="C1949" s="73">
        <v>5</v>
      </c>
      <c r="D1949" s="180" t="s">
        <v>600</v>
      </c>
      <c r="E1949" s="39">
        <v>43598</v>
      </c>
      <c r="F1949" s="179">
        <v>0.45555555555555555</v>
      </c>
      <c r="G1949" s="180">
        <v>3</v>
      </c>
      <c r="H1949" s="180" t="s">
        <v>627</v>
      </c>
      <c r="I1949" s="180"/>
      <c r="J1949" s="180"/>
      <c r="K1949" s="180"/>
      <c r="L1949" s="180"/>
      <c r="M1949" s="180"/>
      <c r="N1949" s="180"/>
      <c r="O1949" s="180"/>
      <c r="P1949" s="180"/>
    </row>
    <row r="1950" spans="1:16" x14ac:dyDescent="0.45">
      <c r="A1950" s="180" t="s">
        <v>3</v>
      </c>
      <c r="B1950" s="73">
        <v>3</v>
      </c>
      <c r="C1950" s="73"/>
      <c r="D1950" s="180" t="s">
        <v>600</v>
      </c>
      <c r="E1950" s="39">
        <v>43598</v>
      </c>
      <c r="F1950" s="179">
        <v>0.45347222222222222</v>
      </c>
      <c r="G1950" s="180">
        <v>2</v>
      </c>
      <c r="H1950" s="180"/>
      <c r="I1950" s="180"/>
      <c r="J1950" s="180"/>
      <c r="K1950" s="180"/>
      <c r="L1950" s="180"/>
      <c r="M1950" s="180"/>
      <c r="N1950" s="180"/>
      <c r="O1950" s="180"/>
      <c r="P1950" s="180"/>
    </row>
    <row r="1951" spans="1:16" x14ac:dyDescent="0.45">
      <c r="A1951" s="180" t="s">
        <v>3</v>
      </c>
      <c r="B1951" s="73">
        <v>5</v>
      </c>
      <c r="C1951" s="73"/>
      <c r="D1951" s="180" t="s">
        <v>600</v>
      </c>
      <c r="E1951" s="39">
        <v>43598</v>
      </c>
      <c r="F1951" s="179">
        <v>0.60416666666666663</v>
      </c>
      <c r="G1951" s="180">
        <v>6</v>
      </c>
      <c r="H1951" s="180" t="s">
        <v>617</v>
      </c>
      <c r="I1951" s="180"/>
      <c r="J1951" s="180"/>
      <c r="K1951" s="180"/>
      <c r="L1951" s="180"/>
      <c r="M1951" s="180"/>
      <c r="N1951" s="180"/>
      <c r="O1951" s="180"/>
      <c r="P1951" s="180"/>
    </row>
    <row r="1952" spans="1:16" x14ac:dyDescent="0.45">
      <c r="A1952" s="180" t="s">
        <v>3</v>
      </c>
      <c r="B1952" s="73">
        <v>5</v>
      </c>
      <c r="C1952" s="73"/>
      <c r="D1952" s="180" t="s">
        <v>600</v>
      </c>
      <c r="E1952" s="39">
        <v>43598</v>
      </c>
      <c r="F1952" s="179">
        <v>0.45555555555555555</v>
      </c>
      <c r="G1952" s="180">
        <v>3</v>
      </c>
      <c r="H1952" s="180" t="s">
        <v>627</v>
      </c>
      <c r="I1952" s="180"/>
      <c r="J1952" s="180"/>
      <c r="K1952" s="180"/>
      <c r="L1952" s="180"/>
      <c r="M1952" s="180"/>
      <c r="N1952" s="180"/>
      <c r="O1952" s="180"/>
      <c r="P1952" s="180"/>
    </row>
    <row r="1953" spans="1:16" x14ac:dyDescent="0.45">
      <c r="A1953" s="180" t="s">
        <v>3</v>
      </c>
      <c r="B1953" s="73">
        <v>3</v>
      </c>
      <c r="C1953" s="73"/>
      <c r="D1953" s="180" t="s">
        <v>602</v>
      </c>
      <c r="E1953" s="39">
        <v>43598</v>
      </c>
      <c r="F1953" s="179">
        <v>0.60486111111111118</v>
      </c>
      <c r="G1953" s="180">
        <v>2</v>
      </c>
      <c r="H1953" s="180"/>
      <c r="I1953" s="180"/>
      <c r="J1953" s="180"/>
      <c r="K1953" s="180"/>
      <c r="L1953" s="180"/>
      <c r="M1953" s="180"/>
      <c r="N1953" s="180"/>
      <c r="O1953" s="180"/>
      <c r="P1953" s="180"/>
    </row>
    <row r="1954" spans="1:16" x14ac:dyDescent="0.45">
      <c r="A1954" s="180" t="s">
        <v>3</v>
      </c>
      <c r="B1954" s="73">
        <v>2</v>
      </c>
      <c r="C1954" s="73"/>
      <c r="D1954" s="180" t="s">
        <v>640</v>
      </c>
      <c r="E1954" s="39">
        <v>43599</v>
      </c>
      <c r="F1954" s="179">
        <v>0.69513888888888886</v>
      </c>
      <c r="G1954" s="180">
        <v>2</v>
      </c>
      <c r="H1954" s="180"/>
      <c r="I1954" s="180"/>
      <c r="J1954" s="180"/>
      <c r="K1954" s="180"/>
      <c r="L1954" s="180"/>
      <c r="M1954" s="180"/>
      <c r="N1954" s="180"/>
      <c r="O1954" s="180"/>
      <c r="P1954" s="180"/>
    </row>
    <row r="1955" spans="1:16" x14ac:dyDescent="0.45">
      <c r="A1955" s="180" t="s">
        <v>3</v>
      </c>
      <c r="B1955" s="73">
        <v>1</v>
      </c>
      <c r="C1955" s="73"/>
      <c r="D1955" s="180" t="s">
        <v>618</v>
      </c>
      <c r="E1955" s="39">
        <v>43599</v>
      </c>
      <c r="F1955" s="179">
        <v>0.69513888888888886</v>
      </c>
      <c r="G1955" s="180">
        <v>2</v>
      </c>
      <c r="H1955" s="180"/>
      <c r="I1955" s="180"/>
      <c r="J1955" s="180"/>
      <c r="K1955" s="180"/>
      <c r="L1955" s="180"/>
      <c r="M1955" s="180"/>
      <c r="N1955" s="180"/>
      <c r="O1955" s="180"/>
      <c r="P1955" s="180"/>
    </row>
    <row r="1956" spans="1:16" x14ac:dyDescent="0.45">
      <c r="A1956" s="180" t="s">
        <v>3</v>
      </c>
      <c r="B1956" s="73">
        <v>4</v>
      </c>
      <c r="C1956" s="73">
        <v>4</v>
      </c>
      <c r="D1956" s="180" t="s">
        <v>618</v>
      </c>
      <c r="E1956" s="39">
        <v>43599</v>
      </c>
      <c r="F1956" s="179">
        <v>0.59375</v>
      </c>
      <c r="G1956" s="180">
        <v>2</v>
      </c>
      <c r="H1956" s="180"/>
      <c r="I1956" s="180"/>
      <c r="J1956" s="180"/>
      <c r="K1956" s="180"/>
      <c r="L1956" s="180"/>
      <c r="M1956" s="180"/>
      <c r="N1956" s="180"/>
      <c r="O1956" s="180"/>
      <c r="P1956" s="180"/>
    </row>
    <row r="1957" spans="1:16" x14ac:dyDescent="0.45">
      <c r="A1957" s="180" t="s">
        <v>3</v>
      </c>
      <c r="B1957" s="73">
        <v>4</v>
      </c>
      <c r="C1957" s="73"/>
      <c r="D1957" s="180" t="s">
        <v>618</v>
      </c>
      <c r="E1957" s="39">
        <v>43599</v>
      </c>
      <c r="F1957" s="179">
        <v>0.59375</v>
      </c>
      <c r="G1957" s="180">
        <v>2</v>
      </c>
      <c r="H1957" s="180"/>
      <c r="I1957" s="180"/>
      <c r="J1957" s="180"/>
      <c r="K1957" s="180"/>
      <c r="L1957" s="180"/>
      <c r="M1957" s="180"/>
      <c r="N1957" s="180"/>
      <c r="O1957" s="180"/>
      <c r="P1957" s="180"/>
    </row>
    <row r="1958" spans="1:16" x14ac:dyDescent="0.45">
      <c r="A1958" s="180" t="s">
        <v>3</v>
      </c>
      <c r="B1958" s="73">
        <v>1</v>
      </c>
      <c r="C1958" s="73"/>
      <c r="D1958" s="180" t="s">
        <v>600</v>
      </c>
      <c r="E1958" s="39">
        <v>43599</v>
      </c>
      <c r="F1958" s="179">
        <v>0.4201388888888889</v>
      </c>
      <c r="G1958" s="180">
        <v>1</v>
      </c>
      <c r="H1958" s="180"/>
      <c r="I1958" s="180"/>
      <c r="J1958" s="180"/>
      <c r="K1958" s="180"/>
      <c r="L1958" s="180"/>
      <c r="M1958" s="180"/>
      <c r="N1958" s="180"/>
      <c r="O1958" s="180"/>
      <c r="P1958" s="180"/>
    </row>
    <row r="1959" spans="1:16" x14ac:dyDescent="0.45">
      <c r="A1959" s="180" t="s">
        <v>3</v>
      </c>
      <c r="B1959" s="73">
        <v>1</v>
      </c>
      <c r="C1959" s="73"/>
      <c r="D1959" s="180" t="s">
        <v>638</v>
      </c>
      <c r="E1959" s="39">
        <v>43599</v>
      </c>
      <c r="F1959" s="179">
        <v>0.74375000000000002</v>
      </c>
      <c r="G1959" s="180">
        <v>1</v>
      </c>
      <c r="H1959" s="180"/>
      <c r="I1959" s="180"/>
      <c r="J1959" s="180"/>
      <c r="K1959" s="180"/>
      <c r="L1959" s="180"/>
      <c r="M1959" s="180"/>
      <c r="N1959" s="180"/>
      <c r="O1959" s="180"/>
      <c r="P1959" s="180"/>
    </row>
    <row r="1960" spans="1:16" x14ac:dyDescent="0.45">
      <c r="A1960" s="180" t="s">
        <v>3</v>
      </c>
      <c r="B1960" s="73">
        <v>2</v>
      </c>
      <c r="C1960" s="73">
        <v>2</v>
      </c>
      <c r="D1960" s="180" t="s">
        <v>638</v>
      </c>
      <c r="E1960" s="39">
        <v>43600</v>
      </c>
      <c r="F1960" s="179">
        <v>0.29166666666666669</v>
      </c>
      <c r="G1960" s="180">
        <v>1</v>
      </c>
      <c r="H1960" s="180"/>
      <c r="I1960" s="180"/>
      <c r="J1960" s="180"/>
      <c r="K1960" s="180"/>
      <c r="L1960" s="180"/>
      <c r="M1960" s="180"/>
      <c r="N1960" s="180"/>
      <c r="O1960" s="180"/>
      <c r="P1960" s="180"/>
    </row>
    <row r="1961" spans="1:16" x14ac:dyDescent="0.45">
      <c r="A1961" s="180" t="s">
        <v>3</v>
      </c>
      <c r="B1961" s="73">
        <v>1</v>
      </c>
      <c r="C1961" s="73"/>
      <c r="D1961" s="180" t="s">
        <v>638</v>
      </c>
      <c r="E1961" s="39">
        <v>43601</v>
      </c>
      <c r="F1961" s="179">
        <v>0.30069444444444443</v>
      </c>
      <c r="G1961" s="180">
        <v>1</v>
      </c>
      <c r="H1961" s="180"/>
      <c r="I1961" s="180"/>
      <c r="J1961" s="180"/>
      <c r="K1961" s="180"/>
      <c r="L1961" s="180"/>
      <c r="M1961" s="180"/>
      <c r="N1961" s="180"/>
      <c r="O1961" s="180"/>
      <c r="P1961" s="180"/>
    </row>
    <row r="1962" spans="1:16" x14ac:dyDescent="0.45">
      <c r="A1962" s="180" t="s">
        <v>3</v>
      </c>
      <c r="B1962" s="73">
        <v>2</v>
      </c>
      <c r="C1962" s="73">
        <v>2</v>
      </c>
      <c r="D1962" s="180" t="s">
        <v>618</v>
      </c>
      <c r="E1962" s="39">
        <v>43601</v>
      </c>
      <c r="F1962" s="179">
        <v>0.5756944444444444</v>
      </c>
      <c r="G1962" s="180">
        <v>1</v>
      </c>
      <c r="H1962" s="180"/>
      <c r="I1962" s="180"/>
      <c r="J1962" s="180"/>
      <c r="K1962" s="180"/>
      <c r="L1962" s="180"/>
      <c r="M1962" s="180"/>
      <c r="N1962" s="180"/>
      <c r="O1962" s="180"/>
      <c r="P1962" s="180"/>
    </row>
    <row r="1963" spans="1:16" x14ac:dyDescent="0.45">
      <c r="A1963" s="180" t="s">
        <v>3</v>
      </c>
      <c r="B1963" s="73">
        <v>5</v>
      </c>
      <c r="C1963" s="73"/>
      <c r="D1963" s="180" t="s">
        <v>618</v>
      </c>
      <c r="E1963" s="39">
        <v>43601</v>
      </c>
      <c r="F1963" s="179">
        <v>0.5131944444444444</v>
      </c>
      <c r="G1963" s="180">
        <v>1</v>
      </c>
      <c r="H1963" s="180"/>
      <c r="I1963" s="180"/>
      <c r="J1963" s="180"/>
      <c r="K1963" s="180"/>
      <c r="L1963" s="180"/>
      <c r="M1963" s="180"/>
      <c r="N1963" s="180"/>
      <c r="O1963" s="180"/>
      <c r="P1963" s="180"/>
    </row>
    <row r="1964" spans="1:16" x14ac:dyDescent="0.45">
      <c r="A1964" s="180" t="s">
        <v>3</v>
      </c>
      <c r="B1964" s="73">
        <v>6</v>
      </c>
      <c r="C1964" s="73">
        <v>6</v>
      </c>
      <c r="D1964" s="180" t="s">
        <v>600</v>
      </c>
      <c r="E1964" s="39">
        <v>43603</v>
      </c>
      <c r="F1964" s="179">
        <v>0.70277777777777783</v>
      </c>
      <c r="G1964" s="180">
        <v>5</v>
      </c>
      <c r="H1964" s="180" t="s">
        <v>628</v>
      </c>
      <c r="I1964" s="180"/>
      <c r="J1964" s="180"/>
      <c r="K1964" s="180"/>
      <c r="L1964" s="180"/>
      <c r="M1964" s="180"/>
      <c r="N1964" s="180"/>
      <c r="O1964" s="180"/>
      <c r="P1964" s="180"/>
    </row>
    <row r="1965" spans="1:16" x14ac:dyDescent="0.45">
      <c r="A1965" s="180" t="s">
        <v>3</v>
      </c>
      <c r="B1965" s="73">
        <v>6</v>
      </c>
      <c r="C1965" s="73"/>
      <c r="D1965" s="180" t="s">
        <v>600</v>
      </c>
      <c r="E1965" s="39">
        <v>43603</v>
      </c>
      <c r="F1965" s="179">
        <v>0.70277777777777783</v>
      </c>
      <c r="G1965" s="180">
        <v>5</v>
      </c>
      <c r="H1965" s="180" t="s">
        <v>628</v>
      </c>
      <c r="I1965" s="180"/>
      <c r="J1965" s="180"/>
      <c r="K1965" s="180"/>
      <c r="L1965" s="180"/>
      <c r="M1965" s="180"/>
      <c r="N1965" s="180"/>
      <c r="O1965" s="180"/>
      <c r="P1965" s="180"/>
    </row>
    <row r="1966" spans="1:16" x14ac:dyDescent="0.45">
      <c r="A1966" s="180" t="s">
        <v>3</v>
      </c>
      <c r="B1966" s="73">
        <v>1</v>
      </c>
      <c r="C1966" s="73">
        <v>1</v>
      </c>
      <c r="D1966" s="180" t="s">
        <v>600</v>
      </c>
      <c r="E1966" s="39">
        <v>43605</v>
      </c>
      <c r="F1966" s="179">
        <v>0.67708333333333337</v>
      </c>
      <c r="G1966" s="180">
        <v>1</v>
      </c>
      <c r="H1966" s="180"/>
      <c r="I1966" s="180"/>
      <c r="J1966" s="180"/>
      <c r="K1966" s="180"/>
      <c r="L1966" s="180"/>
      <c r="M1966" s="180"/>
      <c r="N1966" s="180"/>
      <c r="O1966" s="180"/>
      <c r="P1966" s="180"/>
    </row>
    <row r="1967" spans="1:16" x14ac:dyDescent="0.45">
      <c r="A1967" s="180" t="s">
        <v>3</v>
      </c>
      <c r="B1967" s="73">
        <v>6</v>
      </c>
      <c r="C1967" s="73">
        <v>6</v>
      </c>
      <c r="D1967" s="180" t="s">
        <v>635</v>
      </c>
      <c r="E1967" s="39">
        <v>43606</v>
      </c>
      <c r="F1967" s="179">
        <v>0.34097222222222223</v>
      </c>
      <c r="G1967" s="180">
        <v>1</v>
      </c>
      <c r="H1967" s="180"/>
      <c r="I1967" s="180"/>
      <c r="J1967" s="180"/>
      <c r="K1967" s="180"/>
      <c r="L1967" s="180"/>
      <c r="M1967" s="180"/>
      <c r="N1967" s="180"/>
      <c r="O1967" s="180"/>
      <c r="P1967" s="180"/>
    </row>
    <row r="1968" spans="1:16" x14ac:dyDescent="0.45">
      <c r="A1968" s="180" t="s">
        <v>3</v>
      </c>
      <c r="B1968" s="73">
        <v>1</v>
      </c>
      <c r="C1968" s="73"/>
      <c r="D1968" s="180" t="s">
        <v>638</v>
      </c>
      <c r="E1968" s="39">
        <v>43607</v>
      </c>
      <c r="F1968" s="179">
        <v>0.7416666666666667</v>
      </c>
      <c r="G1968" s="180">
        <v>1</v>
      </c>
      <c r="H1968" s="180"/>
      <c r="I1968" s="180"/>
      <c r="J1968" s="180"/>
      <c r="K1968" s="180"/>
      <c r="L1968" s="180"/>
      <c r="M1968" s="180"/>
      <c r="N1968" s="180"/>
      <c r="O1968" s="180"/>
      <c r="P1968" s="180"/>
    </row>
    <row r="1969" spans="1:16" x14ac:dyDescent="0.45">
      <c r="A1969" s="180" t="s">
        <v>3</v>
      </c>
      <c r="B1969" s="73">
        <v>2</v>
      </c>
      <c r="C1969" s="73">
        <v>2</v>
      </c>
      <c r="D1969" s="180" t="s">
        <v>600</v>
      </c>
      <c r="E1969" s="39">
        <v>43607</v>
      </c>
      <c r="F1969" s="179">
        <v>0.3125</v>
      </c>
      <c r="G1969" s="180">
        <v>1</v>
      </c>
      <c r="H1969" s="180"/>
      <c r="I1969" s="180"/>
      <c r="J1969" s="180"/>
      <c r="K1969" s="180"/>
      <c r="L1969" s="180"/>
      <c r="M1969" s="180"/>
      <c r="N1969" s="180"/>
      <c r="O1969" s="180"/>
      <c r="P1969" s="180"/>
    </row>
    <row r="1970" spans="1:16" x14ac:dyDescent="0.45">
      <c r="A1970" s="180" t="s">
        <v>3</v>
      </c>
      <c r="B1970" s="73">
        <v>1</v>
      </c>
      <c r="C1970" s="73"/>
      <c r="D1970" s="180" t="s">
        <v>641</v>
      </c>
      <c r="E1970" s="39">
        <v>43607</v>
      </c>
      <c r="F1970" s="179">
        <v>0.22916666666666666</v>
      </c>
      <c r="G1970" s="180">
        <v>1</v>
      </c>
      <c r="H1970" s="180" t="s">
        <v>642</v>
      </c>
      <c r="I1970" s="180"/>
      <c r="J1970" s="180"/>
      <c r="K1970" s="180"/>
      <c r="L1970" s="180"/>
      <c r="M1970" s="180"/>
      <c r="N1970" s="180"/>
      <c r="O1970" s="180"/>
      <c r="P1970" s="180"/>
    </row>
    <row r="1971" spans="1:16" x14ac:dyDescent="0.45">
      <c r="A1971" s="180" t="s">
        <v>3</v>
      </c>
      <c r="B1971" s="73">
        <v>5</v>
      </c>
      <c r="C1971" s="73">
        <v>5</v>
      </c>
      <c r="D1971" s="180" t="s">
        <v>635</v>
      </c>
      <c r="E1971" s="39">
        <v>43608</v>
      </c>
      <c r="F1971" s="179">
        <v>0.92222222222222217</v>
      </c>
      <c r="G1971" s="180">
        <v>3</v>
      </c>
      <c r="H1971" s="180" t="s">
        <v>636</v>
      </c>
      <c r="I1971" s="180"/>
      <c r="J1971" s="180"/>
      <c r="K1971" s="180"/>
      <c r="L1971" s="180"/>
      <c r="M1971" s="180"/>
      <c r="N1971" s="180"/>
      <c r="O1971" s="180"/>
      <c r="P1971" s="180"/>
    </row>
    <row r="1972" spans="1:16" x14ac:dyDescent="0.45">
      <c r="A1972" s="180" t="s">
        <v>3</v>
      </c>
      <c r="B1972" s="73">
        <v>5</v>
      </c>
      <c r="C1972" s="73"/>
      <c r="D1972" s="180" t="s">
        <v>635</v>
      </c>
      <c r="E1972" s="39">
        <v>43608</v>
      </c>
      <c r="F1972" s="179">
        <v>0.92222222222222217</v>
      </c>
      <c r="G1972" s="180">
        <v>3</v>
      </c>
      <c r="H1972" s="180" t="s">
        <v>636</v>
      </c>
      <c r="I1972" s="180"/>
      <c r="J1972" s="180"/>
      <c r="K1972" s="180"/>
      <c r="L1972" s="180"/>
      <c r="M1972" s="180"/>
      <c r="N1972" s="180"/>
      <c r="O1972" s="180"/>
      <c r="P1972" s="180"/>
    </row>
    <row r="1973" spans="1:16" x14ac:dyDescent="0.45">
      <c r="A1973" s="180" t="s">
        <v>3</v>
      </c>
      <c r="B1973" s="73">
        <v>1</v>
      </c>
      <c r="C1973" s="73">
        <v>1</v>
      </c>
      <c r="D1973" s="180" t="s">
        <v>600</v>
      </c>
      <c r="E1973" s="39">
        <v>43612</v>
      </c>
      <c r="F1973" s="179">
        <v>0.34375</v>
      </c>
      <c r="G1973" s="180">
        <v>1</v>
      </c>
      <c r="H1973" s="180" t="s">
        <v>643</v>
      </c>
      <c r="I1973" s="180"/>
      <c r="J1973" s="180"/>
      <c r="K1973" s="180"/>
      <c r="L1973" s="180"/>
      <c r="M1973" s="180"/>
      <c r="N1973" s="180"/>
      <c r="O1973" s="180"/>
      <c r="P1973" s="180"/>
    </row>
    <row r="1974" spans="1:16" x14ac:dyDescent="0.45">
      <c r="A1974" s="1" t="s">
        <v>273</v>
      </c>
      <c r="B1974" s="73"/>
      <c r="C1974" s="73">
        <f>SUM(C1889:C1973)</f>
        <v>124</v>
      </c>
      <c r="D1974" s="180"/>
      <c r="E1974" s="39"/>
      <c r="F1974" s="179"/>
      <c r="G1974" s="180"/>
      <c r="H1974" s="180"/>
      <c r="I1974" s="180"/>
      <c r="J1974" s="180"/>
      <c r="K1974" s="180"/>
      <c r="L1974" s="180"/>
      <c r="M1974" s="180"/>
      <c r="N1974" s="180"/>
      <c r="O1974" s="180"/>
      <c r="P1974" s="180"/>
    </row>
    <row r="1975" spans="1:16" x14ac:dyDescent="0.45">
      <c r="A1975" s="180"/>
      <c r="B1975" s="73"/>
      <c r="C1975" s="73"/>
      <c r="D1975" s="180"/>
      <c r="E1975" s="39"/>
      <c r="F1975" s="179"/>
      <c r="G1975" s="180"/>
      <c r="H1975" s="180"/>
      <c r="I1975" s="180"/>
      <c r="J1975" s="180"/>
      <c r="K1975" s="180"/>
      <c r="L1975" s="180"/>
      <c r="M1975" s="180"/>
      <c r="N1975" s="180"/>
      <c r="O1975" s="180"/>
      <c r="P1975" s="180"/>
    </row>
    <row r="1976" spans="1:16" x14ac:dyDescent="0.45">
      <c r="A1976" s="180" t="s">
        <v>182</v>
      </c>
      <c r="B1976" s="73">
        <v>1</v>
      </c>
      <c r="C1976" s="73">
        <v>1</v>
      </c>
      <c r="D1976" s="180" t="s">
        <v>600</v>
      </c>
      <c r="E1976" s="39">
        <v>43595</v>
      </c>
      <c r="F1976" s="179">
        <v>0.66180555555555554</v>
      </c>
      <c r="G1976" s="180">
        <v>3</v>
      </c>
      <c r="H1976" s="180"/>
      <c r="I1976" s="180"/>
      <c r="J1976" s="180"/>
      <c r="K1976" s="180"/>
      <c r="L1976" s="180"/>
      <c r="M1976" s="180"/>
      <c r="N1976" s="180"/>
      <c r="O1976" s="180"/>
      <c r="P1976" s="180"/>
    </row>
    <row r="1977" spans="1:16" x14ac:dyDescent="0.45">
      <c r="A1977" s="180" t="s">
        <v>182</v>
      </c>
      <c r="B1977" s="73">
        <v>11</v>
      </c>
      <c r="C1977" s="73">
        <v>11</v>
      </c>
      <c r="D1977" s="180" t="s">
        <v>600</v>
      </c>
      <c r="E1977" s="39">
        <v>43596</v>
      </c>
      <c r="F1977" s="179">
        <v>0.44166666666666665</v>
      </c>
      <c r="G1977" s="180">
        <v>20</v>
      </c>
      <c r="H1977" s="180"/>
      <c r="I1977" s="180"/>
      <c r="J1977" s="180"/>
      <c r="K1977" s="180"/>
      <c r="L1977" s="180"/>
      <c r="M1977" s="180"/>
      <c r="N1977" s="180"/>
      <c r="O1977" s="180"/>
      <c r="P1977" s="180"/>
    </row>
    <row r="1978" spans="1:16" x14ac:dyDescent="0.45">
      <c r="A1978" s="180" t="s">
        <v>182</v>
      </c>
      <c r="B1978" s="73">
        <v>2</v>
      </c>
      <c r="C1978" s="73">
        <v>2</v>
      </c>
      <c r="D1978" s="180" t="s">
        <v>600</v>
      </c>
      <c r="E1978" s="39">
        <v>43605</v>
      </c>
      <c r="F1978" s="179">
        <v>0.31180555555555556</v>
      </c>
      <c r="G1978" s="180">
        <v>1</v>
      </c>
      <c r="H1978" s="180"/>
      <c r="I1978" s="180"/>
      <c r="J1978" s="180"/>
      <c r="K1978" s="180"/>
      <c r="L1978" s="180"/>
      <c r="M1978" s="180"/>
      <c r="N1978" s="180"/>
      <c r="O1978" s="180"/>
      <c r="P1978" s="180"/>
    </row>
    <row r="1979" spans="1:16" x14ac:dyDescent="0.45">
      <c r="A1979" s="1" t="s">
        <v>273</v>
      </c>
      <c r="B1979" s="73"/>
      <c r="C1979" s="73">
        <f>SUM(C1976:C1978)</f>
        <v>14</v>
      </c>
      <c r="D1979" s="180"/>
      <c r="E1979" s="39"/>
      <c r="F1979" s="179"/>
      <c r="G1979" s="180"/>
      <c r="H1979" s="180"/>
      <c r="I1979" s="180"/>
      <c r="J1979" s="180"/>
      <c r="K1979" s="180"/>
      <c r="L1979" s="180"/>
      <c r="M1979" s="180"/>
      <c r="N1979" s="180"/>
      <c r="O1979" s="180"/>
      <c r="P1979" s="180"/>
    </row>
    <row r="1980" spans="1:16" x14ac:dyDescent="0.45">
      <c r="A1980" s="180"/>
      <c r="B1980" s="73"/>
      <c r="C1980" s="73"/>
      <c r="D1980" s="180"/>
      <c r="E1980" s="39"/>
      <c r="F1980" s="179"/>
      <c r="G1980" s="180"/>
      <c r="H1980" s="180"/>
      <c r="I1980" s="180"/>
      <c r="J1980" s="180"/>
      <c r="K1980" s="180"/>
      <c r="L1980" s="180"/>
      <c r="M1980" s="180"/>
      <c r="N1980" s="180"/>
      <c r="O1980" s="180"/>
      <c r="P1980" s="180"/>
    </row>
    <row r="1981" spans="1:16" x14ac:dyDescent="0.45">
      <c r="A1981" s="180" t="s">
        <v>51</v>
      </c>
      <c r="B1981" s="73">
        <v>1</v>
      </c>
      <c r="C1981" s="73">
        <v>1</v>
      </c>
      <c r="D1981" s="180" t="s">
        <v>600</v>
      </c>
      <c r="E1981" s="39">
        <v>43596</v>
      </c>
      <c r="F1981" s="179">
        <v>0.28125</v>
      </c>
      <c r="G1981" s="180">
        <v>2</v>
      </c>
      <c r="H1981" s="180" t="s">
        <v>613</v>
      </c>
      <c r="I1981" s="180"/>
      <c r="J1981" s="180"/>
      <c r="K1981" s="180"/>
      <c r="L1981" s="180"/>
      <c r="M1981" s="180"/>
      <c r="N1981" s="180"/>
      <c r="O1981" s="180"/>
      <c r="P1981" s="180"/>
    </row>
    <row r="1982" spans="1:16" x14ac:dyDescent="0.45">
      <c r="A1982" s="180" t="s">
        <v>51</v>
      </c>
      <c r="B1982" s="73">
        <v>1</v>
      </c>
      <c r="C1982" s="73"/>
      <c r="D1982" s="180" t="s">
        <v>602</v>
      </c>
      <c r="E1982" s="39">
        <v>43596</v>
      </c>
      <c r="F1982" s="179">
        <v>0.33333333333333331</v>
      </c>
      <c r="G1982" s="180">
        <v>2</v>
      </c>
      <c r="H1982" s="180"/>
      <c r="I1982" s="180"/>
      <c r="J1982" s="180"/>
      <c r="K1982" s="180"/>
      <c r="L1982" s="180"/>
      <c r="M1982" s="180"/>
      <c r="N1982" s="180"/>
      <c r="O1982" s="180"/>
      <c r="P1982" s="180"/>
    </row>
    <row r="1983" spans="1:16" x14ac:dyDescent="0.45">
      <c r="A1983" s="180" t="s">
        <v>51</v>
      </c>
      <c r="B1983" s="73">
        <v>15</v>
      </c>
      <c r="C1983" s="73">
        <v>15</v>
      </c>
      <c r="D1983" s="180" t="s">
        <v>618</v>
      </c>
      <c r="E1983" s="39">
        <v>43599</v>
      </c>
      <c r="F1983" s="179">
        <v>0.59375</v>
      </c>
      <c r="G1983" s="180">
        <v>2</v>
      </c>
      <c r="H1983" s="180"/>
      <c r="I1983" s="180"/>
      <c r="J1983" s="180"/>
      <c r="K1983" s="180"/>
      <c r="L1983" s="180"/>
      <c r="M1983" s="180"/>
      <c r="N1983" s="180"/>
      <c r="O1983" s="180"/>
      <c r="P1983" s="180"/>
    </row>
    <row r="1984" spans="1:16" x14ac:dyDescent="0.45">
      <c r="A1984" s="1" t="s">
        <v>273</v>
      </c>
      <c r="B1984" s="73"/>
      <c r="C1984" s="73">
        <f>SUM(C1981:C1983)</f>
        <v>16</v>
      </c>
      <c r="D1984" s="180"/>
      <c r="E1984" s="39"/>
      <c r="F1984" s="179"/>
      <c r="G1984" s="180"/>
      <c r="H1984" s="180"/>
      <c r="I1984" s="180"/>
      <c r="J1984" s="180"/>
      <c r="K1984" s="180"/>
      <c r="L1984" s="180"/>
      <c r="M1984" s="180"/>
      <c r="N1984" s="180"/>
      <c r="O1984" s="180"/>
      <c r="P1984" s="180"/>
    </row>
    <row r="1985" spans="1:16" x14ac:dyDescent="0.45">
      <c r="A1985" s="180"/>
      <c r="B1985" s="73"/>
      <c r="C1985" s="73"/>
      <c r="D1985" s="180"/>
      <c r="E1985" s="39"/>
      <c r="F1985" s="179"/>
      <c r="G1985" s="180"/>
      <c r="H1985" s="180"/>
      <c r="I1985" s="180"/>
      <c r="J1985" s="180"/>
      <c r="K1985" s="180"/>
      <c r="L1985" s="180"/>
      <c r="M1985" s="180"/>
      <c r="N1985" s="180"/>
      <c r="O1985" s="180"/>
      <c r="P1985" s="180"/>
    </row>
    <row r="1986" spans="1:16" x14ac:dyDescent="0.45">
      <c r="A1986" s="180" t="s">
        <v>12</v>
      </c>
      <c r="B1986" s="73">
        <v>2</v>
      </c>
      <c r="C1986" s="73">
        <v>2</v>
      </c>
      <c r="D1986" s="180" t="s">
        <v>600</v>
      </c>
      <c r="E1986" s="39">
        <v>43590</v>
      </c>
      <c r="F1986" s="179">
        <v>0.51388888888888895</v>
      </c>
      <c r="G1986" s="180">
        <v>1</v>
      </c>
      <c r="H1986" s="180"/>
      <c r="I1986" s="180"/>
      <c r="J1986" s="180"/>
      <c r="K1986" s="180"/>
      <c r="L1986" s="180"/>
      <c r="M1986" s="180"/>
      <c r="N1986" s="180"/>
      <c r="O1986" s="180"/>
      <c r="P1986" s="180"/>
    </row>
    <row r="1987" spans="1:16" x14ac:dyDescent="0.45">
      <c r="A1987" s="180" t="s">
        <v>12</v>
      </c>
      <c r="B1987" s="73">
        <v>1</v>
      </c>
      <c r="C1987" s="73"/>
      <c r="D1987" s="180" t="s">
        <v>600</v>
      </c>
      <c r="E1987" s="39">
        <v>43590</v>
      </c>
      <c r="F1987" s="179">
        <v>0.52083333333333337</v>
      </c>
      <c r="G1987" s="180">
        <v>2</v>
      </c>
      <c r="H1987" s="180"/>
      <c r="I1987" s="180"/>
      <c r="J1987" s="180"/>
      <c r="K1987" s="180"/>
      <c r="L1987" s="180"/>
      <c r="M1987" s="180"/>
      <c r="N1987" s="180"/>
      <c r="O1987" s="180"/>
      <c r="P1987" s="180"/>
    </row>
    <row r="1988" spans="1:16" x14ac:dyDescent="0.45">
      <c r="A1988" s="180" t="s">
        <v>12</v>
      </c>
      <c r="B1988" s="73">
        <v>4</v>
      </c>
      <c r="C1988" s="73">
        <v>4</v>
      </c>
      <c r="D1988" s="180" t="s">
        <v>600</v>
      </c>
      <c r="E1988" s="39">
        <v>43594</v>
      </c>
      <c r="F1988" s="179">
        <v>0.37222222222222223</v>
      </c>
      <c r="G1988" s="180">
        <v>24</v>
      </c>
      <c r="H1988" s="180"/>
      <c r="I1988" s="180"/>
      <c r="J1988" s="180"/>
      <c r="K1988" s="180"/>
      <c r="L1988" s="180"/>
      <c r="M1988" s="180"/>
      <c r="N1988" s="180"/>
      <c r="O1988" s="180"/>
      <c r="P1988" s="180"/>
    </row>
    <row r="1989" spans="1:16" x14ac:dyDescent="0.45">
      <c r="A1989" s="180" t="s">
        <v>12</v>
      </c>
      <c r="B1989" s="73">
        <v>4</v>
      </c>
      <c r="C1989" s="73">
        <v>4</v>
      </c>
      <c r="D1989" s="180" t="s">
        <v>600</v>
      </c>
      <c r="E1989" s="39">
        <v>43594</v>
      </c>
      <c r="F1989" s="179">
        <v>0.37222222222222223</v>
      </c>
      <c r="G1989" s="180">
        <v>24</v>
      </c>
      <c r="H1989" s="180"/>
      <c r="I1989" s="180"/>
      <c r="J1989" s="180"/>
      <c r="K1989" s="180"/>
      <c r="L1989" s="180"/>
      <c r="M1989" s="180"/>
      <c r="N1989" s="180"/>
      <c r="O1989" s="180"/>
      <c r="P1989" s="180"/>
    </row>
    <row r="1990" spans="1:16" x14ac:dyDescent="0.45">
      <c r="A1990" s="180" t="s">
        <v>12</v>
      </c>
      <c r="B1990" s="73">
        <v>4</v>
      </c>
      <c r="C1990" s="73"/>
      <c r="D1990" s="180" t="s">
        <v>600</v>
      </c>
      <c r="E1990" s="39">
        <v>43594</v>
      </c>
      <c r="F1990" s="179">
        <v>0.37222222222222223</v>
      </c>
      <c r="G1990" s="180">
        <v>24</v>
      </c>
      <c r="H1990" s="180"/>
      <c r="I1990" s="180"/>
      <c r="J1990" s="180"/>
      <c r="K1990" s="180"/>
      <c r="L1990" s="180"/>
      <c r="M1990" s="180"/>
      <c r="N1990" s="180"/>
      <c r="O1990" s="180"/>
      <c r="P1990" s="180"/>
    </row>
    <row r="1991" spans="1:16" x14ac:dyDescent="0.45">
      <c r="A1991" s="180" t="s">
        <v>12</v>
      </c>
      <c r="B1991" s="73">
        <v>4</v>
      </c>
      <c r="C1991" s="73"/>
      <c r="D1991" s="180" t="s">
        <v>600</v>
      </c>
      <c r="E1991" s="39">
        <v>43594</v>
      </c>
      <c r="F1991" s="179">
        <v>0.37222222222222223</v>
      </c>
      <c r="G1991" s="180">
        <v>24</v>
      </c>
      <c r="H1991" s="180"/>
      <c r="I1991" s="180"/>
      <c r="J1991" s="180"/>
      <c r="K1991" s="180"/>
      <c r="L1991" s="180"/>
      <c r="M1991" s="180"/>
      <c r="N1991" s="180"/>
      <c r="O1991" s="180"/>
      <c r="P1991" s="180"/>
    </row>
    <row r="1992" spans="1:16" x14ac:dyDescent="0.45">
      <c r="A1992" s="180" t="s">
        <v>12</v>
      </c>
      <c r="B1992" s="73">
        <v>4</v>
      </c>
      <c r="C1992" s="73"/>
      <c r="D1992" s="180" t="s">
        <v>600</v>
      </c>
      <c r="E1992" s="39">
        <v>43594</v>
      </c>
      <c r="F1992" s="179">
        <v>0.37222222222222223</v>
      </c>
      <c r="G1992" s="180">
        <v>24</v>
      </c>
      <c r="H1992" s="180"/>
      <c r="I1992" s="180"/>
      <c r="J1992" s="180"/>
      <c r="K1992" s="180"/>
      <c r="L1992" s="180"/>
      <c r="M1992" s="180"/>
      <c r="N1992" s="180"/>
      <c r="O1992" s="180"/>
      <c r="P1992" s="180"/>
    </row>
    <row r="1993" spans="1:16" x14ac:dyDescent="0.45">
      <c r="A1993" s="180" t="s">
        <v>12</v>
      </c>
      <c r="B1993" s="73">
        <v>2</v>
      </c>
      <c r="C1993" s="73"/>
      <c r="D1993" s="180" t="s">
        <v>602</v>
      </c>
      <c r="E1993" s="39">
        <v>43594</v>
      </c>
      <c r="F1993" s="179">
        <v>0.5</v>
      </c>
      <c r="G1993" s="180">
        <v>1</v>
      </c>
      <c r="H1993" s="180"/>
      <c r="I1993" s="180"/>
      <c r="J1993" s="180"/>
      <c r="K1993" s="180"/>
      <c r="L1993" s="180"/>
      <c r="M1993" s="180"/>
      <c r="N1993" s="180"/>
      <c r="O1993" s="180"/>
      <c r="P1993" s="180"/>
    </row>
    <row r="1994" spans="1:16" x14ac:dyDescent="0.45">
      <c r="A1994" s="180" t="s">
        <v>12</v>
      </c>
      <c r="B1994" s="73">
        <v>6</v>
      </c>
      <c r="C1994" s="73"/>
      <c r="D1994" s="180" t="s">
        <v>600</v>
      </c>
      <c r="E1994" s="39">
        <v>43595</v>
      </c>
      <c r="F1994" s="179">
        <v>0.37361111111111112</v>
      </c>
      <c r="G1994" s="180">
        <v>24</v>
      </c>
      <c r="H1994" s="180"/>
      <c r="I1994" s="180"/>
      <c r="J1994" s="180"/>
      <c r="K1994" s="180"/>
      <c r="L1994" s="180"/>
      <c r="M1994" s="180"/>
      <c r="N1994" s="180"/>
      <c r="O1994" s="180"/>
      <c r="P1994" s="180"/>
    </row>
    <row r="1995" spans="1:16" x14ac:dyDescent="0.45">
      <c r="A1995" s="180" t="s">
        <v>12</v>
      </c>
      <c r="B1995" s="73">
        <v>6</v>
      </c>
      <c r="C1995" s="73"/>
      <c r="D1995" s="180" t="s">
        <v>600</v>
      </c>
      <c r="E1995" s="39">
        <v>43595</v>
      </c>
      <c r="F1995" s="179">
        <v>0.37361111111111112</v>
      </c>
      <c r="G1995" s="180">
        <v>24</v>
      </c>
      <c r="H1995" s="180"/>
      <c r="I1995" s="180"/>
      <c r="J1995" s="180"/>
      <c r="K1995" s="180"/>
      <c r="L1995" s="180"/>
      <c r="M1995" s="180"/>
      <c r="N1995" s="180"/>
      <c r="O1995" s="180"/>
      <c r="P1995" s="180"/>
    </row>
    <row r="1996" spans="1:16" x14ac:dyDescent="0.45">
      <c r="A1996" s="180" t="s">
        <v>12</v>
      </c>
      <c r="B1996" s="73">
        <v>3</v>
      </c>
      <c r="C1996" s="73"/>
      <c r="D1996" s="180" t="s">
        <v>600</v>
      </c>
      <c r="E1996" s="39">
        <v>43595</v>
      </c>
      <c r="F1996" s="179">
        <v>0.56666666666666665</v>
      </c>
      <c r="G1996" s="180">
        <v>3</v>
      </c>
      <c r="H1996" s="180"/>
      <c r="I1996" s="180"/>
      <c r="J1996" s="180"/>
      <c r="K1996" s="180"/>
      <c r="L1996" s="180"/>
      <c r="M1996" s="180"/>
      <c r="N1996" s="180"/>
      <c r="O1996" s="180"/>
      <c r="P1996" s="180"/>
    </row>
    <row r="1997" spans="1:16" x14ac:dyDescent="0.45">
      <c r="A1997" s="180" t="s">
        <v>12</v>
      </c>
      <c r="B1997" s="73">
        <v>1</v>
      </c>
      <c r="C1997" s="73"/>
      <c r="D1997" s="180" t="s">
        <v>600</v>
      </c>
      <c r="E1997" s="39">
        <v>43595</v>
      </c>
      <c r="F1997" s="179">
        <v>0.66180555555555554</v>
      </c>
      <c r="G1997" s="180">
        <v>3</v>
      </c>
      <c r="H1997" s="180"/>
      <c r="I1997" s="180"/>
      <c r="J1997" s="180"/>
      <c r="K1997" s="180"/>
      <c r="L1997" s="180"/>
      <c r="M1997" s="180"/>
      <c r="N1997" s="180"/>
      <c r="O1997" s="180"/>
      <c r="P1997" s="180"/>
    </row>
    <row r="1998" spans="1:16" x14ac:dyDescent="0.45">
      <c r="A1998" s="180" t="s">
        <v>12</v>
      </c>
      <c r="B1998" s="73">
        <v>6</v>
      </c>
      <c r="C1998" s="73"/>
      <c r="D1998" s="180" t="s">
        <v>600</v>
      </c>
      <c r="E1998" s="39">
        <v>43595</v>
      </c>
      <c r="F1998" s="179">
        <v>0.37361111111111112</v>
      </c>
      <c r="G1998" s="180">
        <v>24</v>
      </c>
      <c r="H1998" s="180"/>
      <c r="I1998" s="180"/>
      <c r="J1998" s="180"/>
      <c r="K1998" s="180"/>
      <c r="L1998" s="180"/>
      <c r="M1998" s="180"/>
      <c r="N1998" s="180"/>
      <c r="O1998" s="180"/>
      <c r="P1998" s="180"/>
    </row>
    <row r="1999" spans="1:16" x14ac:dyDescent="0.45">
      <c r="A1999" s="180" t="s">
        <v>12</v>
      </c>
      <c r="B1999" s="73">
        <v>3</v>
      </c>
      <c r="C1999" s="73"/>
      <c r="D1999" s="180" t="s">
        <v>600</v>
      </c>
      <c r="E1999" s="39">
        <v>43595</v>
      </c>
      <c r="F1999" s="179">
        <v>0.56666666666666665</v>
      </c>
      <c r="G1999" s="180">
        <v>3</v>
      </c>
      <c r="H1999" s="180"/>
      <c r="I1999" s="180"/>
      <c r="J1999" s="180"/>
      <c r="K1999" s="180"/>
      <c r="L1999" s="180"/>
      <c r="M1999" s="180"/>
      <c r="N1999" s="180"/>
      <c r="O1999" s="180"/>
      <c r="P1999" s="180"/>
    </row>
    <row r="2000" spans="1:16" x14ac:dyDescent="0.45">
      <c r="A2000" s="180" t="s">
        <v>12</v>
      </c>
      <c r="B2000" s="73">
        <v>12</v>
      </c>
      <c r="C2000" s="73">
        <v>12</v>
      </c>
      <c r="D2000" s="180" t="s">
        <v>600</v>
      </c>
      <c r="E2000" s="39">
        <v>43595</v>
      </c>
      <c r="F2000" s="179">
        <v>0.61249999999999993</v>
      </c>
      <c r="G2000" s="180">
        <v>2</v>
      </c>
      <c r="H2000" s="180" t="s">
        <v>612</v>
      </c>
      <c r="I2000" s="180"/>
      <c r="J2000" s="180"/>
      <c r="K2000" s="180"/>
      <c r="L2000" s="180"/>
      <c r="M2000" s="180"/>
      <c r="N2000" s="180"/>
      <c r="O2000" s="180"/>
      <c r="P2000" s="180"/>
    </row>
    <row r="2001" spans="1:16" x14ac:dyDescent="0.45">
      <c r="A2001" s="180" t="s">
        <v>12</v>
      </c>
      <c r="B2001" s="73">
        <v>6</v>
      </c>
      <c r="C2001" s="73"/>
      <c r="D2001" s="180" t="s">
        <v>600</v>
      </c>
      <c r="E2001" s="39">
        <v>43595</v>
      </c>
      <c r="F2001" s="179">
        <v>0.37361111111111112</v>
      </c>
      <c r="G2001" s="180">
        <v>24</v>
      </c>
      <c r="H2001" s="180"/>
      <c r="I2001" s="180"/>
      <c r="J2001" s="180"/>
      <c r="K2001" s="180"/>
      <c r="L2001" s="180"/>
      <c r="M2001" s="180"/>
      <c r="N2001" s="180"/>
      <c r="O2001" s="180"/>
      <c r="P2001" s="180"/>
    </row>
    <row r="2002" spans="1:16" x14ac:dyDescent="0.45">
      <c r="A2002" s="180" t="s">
        <v>12</v>
      </c>
      <c r="B2002" s="73">
        <v>6</v>
      </c>
      <c r="C2002" s="73"/>
      <c r="D2002" s="180" t="s">
        <v>600</v>
      </c>
      <c r="E2002" s="39">
        <v>43595</v>
      </c>
      <c r="F2002" s="179">
        <v>0.60416666666666663</v>
      </c>
      <c r="G2002" s="180">
        <v>2</v>
      </c>
      <c r="H2002" s="180"/>
      <c r="I2002" s="180"/>
      <c r="J2002" s="180"/>
      <c r="K2002" s="180"/>
      <c r="L2002" s="180"/>
      <c r="M2002" s="180"/>
      <c r="N2002" s="180"/>
      <c r="O2002" s="180"/>
      <c r="P2002" s="180"/>
    </row>
    <row r="2003" spans="1:16" x14ac:dyDescent="0.45">
      <c r="A2003" s="180" t="s">
        <v>12</v>
      </c>
      <c r="B2003" s="73">
        <v>6</v>
      </c>
      <c r="C2003" s="73"/>
      <c r="D2003" s="180" t="s">
        <v>600</v>
      </c>
      <c r="E2003" s="39">
        <v>43595</v>
      </c>
      <c r="F2003" s="179">
        <v>0.37361111111111112</v>
      </c>
      <c r="G2003" s="180">
        <v>24</v>
      </c>
      <c r="H2003" s="180"/>
      <c r="I2003" s="180"/>
      <c r="J2003" s="180"/>
      <c r="K2003" s="180"/>
      <c r="L2003" s="180"/>
      <c r="M2003" s="180"/>
      <c r="N2003" s="180"/>
      <c r="O2003" s="180"/>
      <c r="P2003" s="180"/>
    </row>
    <row r="2004" spans="1:16" x14ac:dyDescent="0.45">
      <c r="A2004" s="180" t="s">
        <v>12</v>
      </c>
      <c r="B2004" s="73">
        <v>12</v>
      </c>
      <c r="C2004" s="73"/>
      <c r="D2004" s="180" t="s">
        <v>600</v>
      </c>
      <c r="E2004" s="39">
        <v>43595</v>
      </c>
      <c r="F2004" s="179">
        <v>0.61249999999999993</v>
      </c>
      <c r="G2004" s="180">
        <v>2</v>
      </c>
      <c r="H2004" s="180" t="s">
        <v>612</v>
      </c>
      <c r="I2004" s="180"/>
      <c r="J2004" s="180"/>
      <c r="K2004" s="180"/>
      <c r="L2004" s="180"/>
      <c r="M2004" s="180"/>
      <c r="N2004" s="180"/>
      <c r="O2004" s="180"/>
      <c r="P2004" s="180"/>
    </row>
    <row r="2005" spans="1:16" x14ac:dyDescent="0.45">
      <c r="A2005" s="180" t="s">
        <v>12</v>
      </c>
      <c r="B2005" s="73">
        <v>5</v>
      </c>
      <c r="C2005" s="73"/>
      <c r="D2005" s="180" t="s">
        <v>600</v>
      </c>
      <c r="E2005" s="39">
        <v>43595</v>
      </c>
      <c r="F2005" s="179">
        <v>0.51111111111111118</v>
      </c>
      <c r="G2005" s="180">
        <v>1</v>
      </c>
      <c r="H2005" s="180"/>
      <c r="I2005" s="180"/>
      <c r="J2005" s="180"/>
      <c r="K2005" s="180"/>
      <c r="L2005" s="180"/>
      <c r="M2005" s="180"/>
      <c r="N2005" s="180"/>
      <c r="O2005" s="180"/>
      <c r="P2005" s="180"/>
    </row>
    <row r="2006" spans="1:16" x14ac:dyDescent="0.45">
      <c r="A2006" s="180" t="s">
        <v>12</v>
      </c>
      <c r="B2006" s="73">
        <v>6</v>
      </c>
      <c r="C2006" s="73"/>
      <c r="D2006" s="180" t="s">
        <v>600</v>
      </c>
      <c r="E2006" s="39">
        <v>43595</v>
      </c>
      <c r="F2006" s="179">
        <v>0.37361111111111112</v>
      </c>
      <c r="G2006" s="180">
        <v>24</v>
      </c>
      <c r="H2006" s="180"/>
      <c r="I2006" s="180"/>
      <c r="J2006" s="180"/>
      <c r="K2006" s="180"/>
      <c r="L2006" s="180"/>
      <c r="M2006" s="180"/>
      <c r="N2006" s="180"/>
      <c r="O2006" s="180"/>
      <c r="P2006" s="180"/>
    </row>
    <row r="2007" spans="1:16" x14ac:dyDescent="0.45">
      <c r="A2007" s="180" t="s">
        <v>12</v>
      </c>
      <c r="B2007" s="73">
        <v>3</v>
      </c>
      <c r="C2007" s="73"/>
      <c r="D2007" s="180" t="s">
        <v>600</v>
      </c>
      <c r="E2007" s="39">
        <v>43595</v>
      </c>
      <c r="F2007" s="179">
        <v>0.56666666666666665</v>
      </c>
      <c r="G2007" s="180">
        <v>3</v>
      </c>
      <c r="H2007" s="180"/>
      <c r="I2007" s="180"/>
      <c r="J2007" s="180"/>
      <c r="K2007" s="180"/>
      <c r="L2007" s="180"/>
      <c r="M2007" s="180"/>
      <c r="N2007" s="180"/>
      <c r="O2007" s="180"/>
      <c r="P2007" s="180"/>
    </row>
    <row r="2008" spans="1:16" x14ac:dyDescent="0.45">
      <c r="A2008" s="180" t="s">
        <v>12</v>
      </c>
      <c r="B2008" s="73">
        <v>4</v>
      </c>
      <c r="C2008" s="73"/>
      <c r="D2008" s="180" t="s">
        <v>602</v>
      </c>
      <c r="E2008" s="39">
        <v>43595</v>
      </c>
      <c r="F2008" s="179">
        <v>0.43472222222222223</v>
      </c>
      <c r="G2008" s="180">
        <v>1</v>
      </c>
      <c r="H2008" s="180"/>
      <c r="I2008" s="180"/>
      <c r="J2008" s="180"/>
      <c r="K2008" s="180"/>
      <c r="L2008" s="180"/>
      <c r="M2008" s="180"/>
      <c r="N2008" s="180"/>
      <c r="O2008" s="180"/>
      <c r="P2008" s="180"/>
    </row>
    <row r="2009" spans="1:16" x14ac:dyDescent="0.45">
      <c r="A2009" s="180" t="s">
        <v>12</v>
      </c>
      <c r="B2009" s="73">
        <v>1</v>
      </c>
      <c r="C2009" s="73"/>
      <c r="D2009" s="180" t="s">
        <v>602</v>
      </c>
      <c r="E2009" s="39">
        <v>43595</v>
      </c>
      <c r="F2009" s="179">
        <v>0.64861111111111114</v>
      </c>
      <c r="G2009" s="180">
        <v>3</v>
      </c>
      <c r="H2009" s="180"/>
      <c r="I2009" s="180"/>
      <c r="J2009" s="180"/>
      <c r="K2009" s="180"/>
      <c r="L2009" s="180"/>
      <c r="M2009" s="180"/>
      <c r="N2009" s="180"/>
      <c r="O2009" s="180"/>
      <c r="P2009" s="180"/>
    </row>
    <row r="2010" spans="1:16" x14ac:dyDescent="0.45">
      <c r="A2010" s="180" t="s">
        <v>12</v>
      </c>
      <c r="B2010" s="73">
        <v>14</v>
      </c>
      <c r="C2010" s="73">
        <v>14</v>
      </c>
      <c r="D2010" s="180" t="s">
        <v>600</v>
      </c>
      <c r="E2010" s="39">
        <v>43596</v>
      </c>
      <c r="F2010" s="179">
        <v>0.44166666666666665</v>
      </c>
      <c r="G2010" s="180">
        <v>20</v>
      </c>
      <c r="H2010" s="180"/>
      <c r="I2010" s="180"/>
      <c r="J2010" s="180"/>
      <c r="K2010" s="180"/>
      <c r="L2010" s="180"/>
      <c r="M2010" s="180"/>
      <c r="N2010" s="180"/>
      <c r="O2010" s="180"/>
      <c r="P2010" s="180"/>
    </row>
    <row r="2011" spans="1:16" x14ac:dyDescent="0.45">
      <c r="A2011" s="180" t="s">
        <v>12</v>
      </c>
      <c r="B2011" s="73">
        <v>4</v>
      </c>
      <c r="C2011" s="73"/>
      <c r="D2011" s="180" t="s">
        <v>600</v>
      </c>
      <c r="E2011" s="39">
        <v>43596</v>
      </c>
      <c r="F2011" s="179">
        <v>0.3125</v>
      </c>
      <c r="G2011" s="180">
        <v>4</v>
      </c>
      <c r="H2011" s="180" t="s">
        <v>629</v>
      </c>
      <c r="I2011" s="180"/>
      <c r="J2011" s="180"/>
      <c r="K2011" s="180"/>
      <c r="L2011" s="180"/>
      <c r="M2011" s="180"/>
      <c r="N2011" s="180"/>
      <c r="O2011" s="180"/>
      <c r="P2011" s="180"/>
    </row>
    <row r="2012" spans="1:16" x14ac:dyDescent="0.45">
      <c r="A2012" s="180" t="s">
        <v>12</v>
      </c>
      <c r="B2012" s="73">
        <v>6</v>
      </c>
      <c r="C2012" s="73"/>
      <c r="D2012" s="180" t="s">
        <v>600</v>
      </c>
      <c r="E2012" s="39">
        <v>43596</v>
      </c>
      <c r="F2012" s="179">
        <v>0.28125</v>
      </c>
      <c r="G2012" s="180">
        <v>2</v>
      </c>
      <c r="H2012" s="180" t="s">
        <v>613</v>
      </c>
      <c r="I2012" s="180"/>
      <c r="J2012" s="180"/>
      <c r="K2012" s="180"/>
      <c r="L2012" s="180"/>
      <c r="M2012" s="180"/>
      <c r="N2012" s="180"/>
      <c r="O2012" s="180"/>
      <c r="P2012" s="180"/>
    </row>
    <row r="2013" spans="1:16" x14ac:dyDescent="0.45">
      <c r="A2013" s="180" t="s">
        <v>12</v>
      </c>
      <c r="B2013" s="73">
        <v>1</v>
      </c>
      <c r="C2013" s="73"/>
      <c r="D2013" s="180" t="s">
        <v>602</v>
      </c>
      <c r="E2013" s="39">
        <v>43596</v>
      </c>
      <c r="F2013" s="179">
        <v>0.33333333333333331</v>
      </c>
      <c r="G2013" s="180">
        <v>2</v>
      </c>
      <c r="H2013" s="180"/>
      <c r="I2013" s="180"/>
      <c r="J2013" s="180"/>
      <c r="K2013" s="180"/>
      <c r="L2013" s="180"/>
      <c r="M2013" s="180"/>
      <c r="N2013" s="180"/>
      <c r="O2013" s="180"/>
      <c r="P2013" s="180"/>
    </row>
    <row r="2014" spans="1:16" x14ac:dyDescent="0.45">
      <c r="A2014" s="180" t="s">
        <v>12</v>
      </c>
      <c r="B2014" s="73">
        <v>10</v>
      </c>
      <c r="C2014" s="73"/>
      <c r="D2014" s="180" t="s">
        <v>602</v>
      </c>
      <c r="E2014" s="39">
        <v>43596</v>
      </c>
      <c r="F2014" s="179">
        <v>0.33749999999999997</v>
      </c>
      <c r="G2014" s="180">
        <v>1</v>
      </c>
      <c r="H2014" s="180"/>
      <c r="I2014" s="180"/>
      <c r="J2014" s="180"/>
      <c r="K2014" s="180"/>
      <c r="L2014" s="180"/>
      <c r="M2014" s="180"/>
      <c r="N2014" s="180"/>
      <c r="O2014" s="180"/>
      <c r="P2014" s="180"/>
    </row>
    <row r="2015" spans="1:16" x14ac:dyDescent="0.45">
      <c r="A2015" s="180" t="s">
        <v>12</v>
      </c>
      <c r="B2015" s="73">
        <v>1</v>
      </c>
      <c r="C2015" s="73"/>
      <c r="D2015" s="180" t="s">
        <v>644</v>
      </c>
      <c r="E2015" s="39">
        <v>43596</v>
      </c>
      <c r="F2015" s="179">
        <v>0.5444444444444444</v>
      </c>
      <c r="G2015" s="180">
        <v>1</v>
      </c>
      <c r="H2015" s="180"/>
      <c r="I2015" s="180"/>
      <c r="J2015" s="180"/>
      <c r="K2015" s="180"/>
      <c r="L2015" s="180"/>
      <c r="M2015" s="180"/>
      <c r="N2015" s="180"/>
      <c r="O2015" s="180"/>
      <c r="P2015" s="180"/>
    </row>
    <row r="2016" spans="1:16" x14ac:dyDescent="0.45">
      <c r="A2016" s="180" t="s">
        <v>12</v>
      </c>
      <c r="B2016" s="73">
        <v>1</v>
      </c>
      <c r="C2016" s="73"/>
      <c r="D2016" s="180" t="s">
        <v>600</v>
      </c>
      <c r="E2016" s="39">
        <v>43597</v>
      </c>
      <c r="F2016" s="179">
        <v>0.4826388888888889</v>
      </c>
      <c r="G2016" s="180">
        <v>10</v>
      </c>
      <c r="H2016" s="180" t="s">
        <v>614</v>
      </c>
      <c r="I2016" s="180"/>
      <c r="J2016" s="180"/>
      <c r="K2016" s="180"/>
      <c r="L2016" s="180"/>
      <c r="M2016" s="180"/>
      <c r="N2016" s="180"/>
      <c r="O2016" s="180"/>
      <c r="P2016" s="180"/>
    </row>
    <row r="2017" spans="1:16" x14ac:dyDescent="0.45">
      <c r="A2017" s="180" t="s">
        <v>12</v>
      </c>
      <c r="B2017" s="73">
        <v>12</v>
      </c>
      <c r="C2017" s="73"/>
      <c r="D2017" s="180" t="s">
        <v>600</v>
      </c>
      <c r="E2017" s="39">
        <v>43597</v>
      </c>
      <c r="F2017" s="179">
        <v>0.28819444444444448</v>
      </c>
      <c r="G2017" s="180">
        <v>6</v>
      </c>
      <c r="H2017" s="180" t="s">
        <v>609</v>
      </c>
      <c r="I2017" s="180"/>
      <c r="J2017" s="180"/>
      <c r="K2017" s="180"/>
      <c r="L2017" s="180"/>
      <c r="M2017" s="180"/>
      <c r="N2017" s="180"/>
      <c r="O2017" s="180"/>
      <c r="P2017" s="180"/>
    </row>
    <row r="2018" spans="1:16" x14ac:dyDescent="0.45">
      <c r="A2018" s="180" t="s">
        <v>12</v>
      </c>
      <c r="B2018" s="73">
        <v>3</v>
      </c>
      <c r="C2018" s="73"/>
      <c r="D2018" s="180" t="s">
        <v>600</v>
      </c>
      <c r="E2018" s="39">
        <v>43597</v>
      </c>
      <c r="F2018" s="179">
        <v>0.45833333333333331</v>
      </c>
      <c r="G2018" s="180">
        <v>3</v>
      </c>
      <c r="H2018" s="180"/>
      <c r="I2018" s="180"/>
      <c r="J2018" s="180"/>
      <c r="K2018" s="180"/>
      <c r="L2018" s="180"/>
      <c r="M2018" s="180"/>
      <c r="N2018" s="180"/>
      <c r="O2018" s="180"/>
      <c r="P2018" s="180"/>
    </row>
    <row r="2019" spans="1:16" x14ac:dyDescent="0.45">
      <c r="A2019" s="180" t="s">
        <v>12</v>
      </c>
      <c r="B2019" s="73">
        <v>1</v>
      </c>
      <c r="C2019" s="73"/>
      <c r="D2019" s="180" t="s">
        <v>600</v>
      </c>
      <c r="E2019" s="39">
        <v>43597</v>
      </c>
      <c r="F2019" s="179">
        <v>0.4375</v>
      </c>
      <c r="G2019" s="180">
        <v>12</v>
      </c>
      <c r="H2019" s="180" t="s">
        <v>615</v>
      </c>
      <c r="I2019" s="180"/>
      <c r="J2019" s="180"/>
      <c r="K2019" s="180"/>
      <c r="L2019" s="180"/>
      <c r="M2019" s="180"/>
      <c r="N2019" s="180"/>
      <c r="O2019" s="180"/>
      <c r="P2019" s="180"/>
    </row>
    <row r="2020" spans="1:16" x14ac:dyDescent="0.45">
      <c r="A2020" s="180" t="s">
        <v>12</v>
      </c>
      <c r="B2020" s="73">
        <v>3</v>
      </c>
      <c r="C2020" s="73"/>
      <c r="D2020" s="180" t="s">
        <v>600</v>
      </c>
      <c r="E2020" s="39">
        <v>43597</v>
      </c>
      <c r="F2020" s="179">
        <v>0.45763888888888887</v>
      </c>
      <c r="G2020" s="180">
        <v>3</v>
      </c>
      <c r="H2020" s="180"/>
      <c r="I2020" s="180"/>
      <c r="J2020" s="180"/>
      <c r="K2020" s="180"/>
      <c r="L2020" s="180"/>
      <c r="M2020" s="180"/>
      <c r="N2020" s="180"/>
      <c r="O2020" s="180"/>
      <c r="P2020" s="180"/>
    </row>
    <row r="2021" spans="1:16" x14ac:dyDescent="0.45">
      <c r="A2021" s="180" t="s">
        <v>12</v>
      </c>
      <c r="B2021" s="73">
        <v>5</v>
      </c>
      <c r="C2021" s="73"/>
      <c r="D2021" s="180" t="s">
        <v>600</v>
      </c>
      <c r="E2021" s="39">
        <v>43597</v>
      </c>
      <c r="F2021" s="179">
        <v>0.4375</v>
      </c>
      <c r="G2021" s="180">
        <v>4</v>
      </c>
      <c r="H2021" s="180" t="s">
        <v>633</v>
      </c>
      <c r="I2021" s="180"/>
      <c r="J2021" s="180"/>
      <c r="K2021" s="180"/>
      <c r="L2021" s="180"/>
      <c r="M2021" s="180"/>
      <c r="N2021" s="180"/>
      <c r="O2021" s="180"/>
      <c r="P2021" s="180"/>
    </row>
    <row r="2022" spans="1:16" x14ac:dyDescent="0.45">
      <c r="A2022" s="180" t="s">
        <v>12</v>
      </c>
      <c r="B2022" s="73">
        <v>6</v>
      </c>
      <c r="C2022" s="73"/>
      <c r="D2022" s="180" t="s">
        <v>600</v>
      </c>
      <c r="E2022" s="39">
        <v>43597</v>
      </c>
      <c r="F2022" s="179">
        <v>0.5083333333333333</v>
      </c>
      <c r="G2022" s="180">
        <v>1</v>
      </c>
      <c r="H2022" s="180"/>
      <c r="I2022" s="180"/>
      <c r="J2022" s="180"/>
      <c r="K2022" s="180"/>
      <c r="L2022" s="180"/>
      <c r="M2022" s="180"/>
      <c r="N2022" s="180"/>
      <c r="O2022" s="180"/>
      <c r="P2022" s="180"/>
    </row>
    <row r="2023" spans="1:16" x14ac:dyDescent="0.45">
      <c r="A2023" s="180" t="s">
        <v>12</v>
      </c>
      <c r="B2023" s="73">
        <v>2</v>
      </c>
      <c r="C2023" s="73"/>
      <c r="D2023" s="180" t="s">
        <v>602</v>
      </c>
      <c r="E2023" s="39">
        <v>43597</v>
      </c>
      <c r="F2023" s="179">
        <v>0.44513888888888892</v>
      </c>
      <c r="G2023" s="180">
        <v>1</v>
      </c>
      <c r="H2023" s="180"/>
      <c r="I2023" s="180"/>
      <c r="J2023" s="180"/>
      <c r="K2023" s="180"/>
      <c r="L2023" s="180"/>
      <c r="M2023" s="180"/>
      <c r="N2023" s="180"/>
      <c r="O2023" s="180"/>
      <c r="P2023" s="180"/>
    </row>
    <row r="2024" spans="1:16" x14ac:dyDescent="0.45">
      <c r="A2024" s="180" t="s">
        <v>12</v>
      </c>
      <c r="B2024" s="73">
        <v>25</v>
      </c>
      <c r="C2024" s="73">
        <v>25</v>
      </c>
      <c r="D2024" s="180" t="s">
        <v>639</v>
      </c>
      <c r="E2024" s="39">
        <v>43597</v>
      </c>
      <c r="F2024" s="179">
        <v>0.34027777777777773</v>
      </c>
      <c r="G2024" s="180">
        <v>2</v>
      </c>
      <c r="H2024" s="180"/>
      <c r="I2024" s="180"/>
      <c r="J2024" s="180"/>
      <c r="K2024" s="180"/>
      <c r="L2024" s="180"/>
      <c r="M2024" s="180"/>
      <c r="N2024" s="180"/>
      <c r="O2024" s="180"/>
      <c r="P2024" s="180"/>
    </row>
    <row r="2025" spans="1:16" x14ac:dyDescent="0.45">
      <c r="A2025" s="180" t="s">
        <v>12</v>
      </c>
      <c r="B2025" s="73">
        <v>2</v>
      </c>
      <c r="C2025" s="73"/>
      <c r="D2025" s="180" t="s">
        <v>600</v>
      </c>
      <c r="E2025" s="39">
        <v>43598</v>
      </c>
      <c r="F2025" s="179">
        <v>0.60416666666666663</v>
      </c>
      <c r="G2025" s="180">
        <v>6</v>
      </c>
      <c r="H2025" s="180" t="s">
        <v>617</v>
      </c>
      <c r="I2025" s="180"/>
      <c r="J2025" s="180"/>
      <c r="K2025" s="180"/>
      <c r="L2025" s="180"/>
      <c r="M2025" s="180"/>
      <c r="N2025" s="180"/>
      <c r="O2025" s="180"/>
      <c r="P2025" s="180"/>
    </row>
    <row r="2026" spans="1:16" x14ac:dyDescent="0.45">
      <c r="A2026" s="180" t="s">
        <v>12</v>
      </c>
      <c r="B2026" s="73">
        <v>6</v>
      </c>
      <c r="C2026" s="73">
        <v>6</v>
      </c>
      <c r="D2026" s="180" t="s">
        <v>600</v>
      </c>
      <c r="E2026" s="39">
        <v>43598</v>
      </c>
      <c r="F2026" s="179">
        <v>0.45347222222222222</v>
      </c>
      <c r="G2026" s="180">
        <v>2</v>
      </c>
      <c r="H2026" s="180"/>
      <c r="I2026" s="180"/>
      <c r="J2026" s="180"/>
      <c r="K2026" s="180"/>
      <c r="L2026" s="180"/>
      <c r="M2026" s="180"/>
      <c r="N2026" s="180"/>
      <c r="O2026" s="180"/>
      <c r="P2026" s="180"/>
    </row>
    <row r="2027" spans="1:16" x14ac:dyDescent="0.45">
      <c r="A2027" s="180" t="s">
        <v>12</v>
      </c>
      <c r="B2027" s="73">
        <v>1</v>
      </c>
      <c r="C2027" s="73"/>
      <c r="D2027" s="180" t="s">
        <v>602</v>
      </c>
      <c r="E2027" s="39">
        <v>43598</v>
      </c>
      <c r="F2027" s="179">
        <v>0.60486111111111118</v>
      </c>
      <c r="G2027" s="180">
        <v>2</v>
      </c>
      <c r="H2027" s="180"/>
      <c r="I2027" s="180"/>
      <c r="J2027" s="180"/>
      <c r="K2027" s="180"/>
      <c r="L2027" s="180"/>
      <c r="M2027" s="180"/>
      <c r="N2027" s="180"/>
      <c r="O2027" s="180"/>
      <c r="P2027" s="180"/>
    </row>
    <row r="2028" spans="1:16" x14ac:dyDescent="0.45">
      <c r="A2028" s="180" t="s">
        <v>12</v>
      </c>
      <c r="B2028" s="73">
        <v>15</v>
      </c>
      <c r="C2028" s="73">
        <v>15</v>
      </c>
      <c r="D2028" s="180" t="s">
        <v>618</v>
      </c>
      <c r="E2028" s="39">
        <v>43599</v>
      </c>
      <c r="F2028" s="179">
        <v>0.59375</v>
      </c>
      <c r="G2028" s="180">
        <v>2</v>
      </c>
      <c r="H2028" s="180"/>
      <c r="I2028" s="180"/>
      <c r="J2028" s="180"/>
      <c r="K2028" s="180"/>
      <c r="L2028" s="180"/>
      <c r="M2028" s="180"/>
      <c r="N2028" s="180"/>
      <c r="O2028" s="180"/>
      <c r="P2028" s="180"/>
    </row>
    <row r="2029" spans="1:16" x14ac:dyDescent="0.45">
      <c r="A2029" s="180" t="s">
        <v>12</v>
      </c>
      <c r="B2029" s="73">
        <v>6</v>
      </c>
      <c r="C2029" s="73"/>
      <c r="D2029" s="180" t="s">
        <v>600</v>
      </c>
      <c r="E2029" s="39">
        <v>43599</v>
      </c>
      <c r="F2029" s="179">
        <v>0.4201388888888889</v>
      </c>
      <c r="G2029" s="180">
        <v>1</v>
      </c>
      <c r="H2029" s="180"/>
      <c r="I2029" s="180"/>
      <c r="J2029" s="180"/>
      <c r="K2029" s="180"/>
      <c r="L2029" s="180"/>
      <c r="M2029" s="180"/>
      <c r="N2029" s="180"/>
      <c r="O2029" s="180"/>
      <c r="P2029" s="180"/>
    </row>
    <row r="2030" spans="1:16" x14ac:dyDescent="0.45">
      <c r="A2030" s="180" t="s">
        <v>12</v>
      </c>
      <c r="B2030" s="73">
        <v>3</v>
      </c>
      <c r="C2030" s="73"/>
      <c r="D2030" s="180" t="s">
        <v>618</v>
      </c>
      <c r="E2030" s="39">
        <v>43601</v>
      </c>
      <c r="F2030" s="179">
        <v>0.5756944444444444</v>
      </c>
      <c r="G2030" s="180">
        <v>1</v>
      </c>
      <c r="H2030" s="180"/>
      <c r="I2030" s="180"/>
      <c r="J2030" s="180"/>
      <c r="K2030" s="180"/>
      <c r="L2030" s="180"/>
      <c r="M2030" s="180"/>
      <c r="N2030" s="180"/>
      <c r="O2030" s="180"/>
      <c r="P2030" s="180"/>
    </row>
    <row r="2031" spans="1:16" x14ac:dyDescent="0.45">
      <c r="A2031" s="180" t="s">
        <v>12</v>
      </c>
      <c r="B2031" s="73">
        <v>14</v>
      </c>
      <c r="C2031" s="73">
        <v>14</v>
      </c>
      <c r="D2031" s="180" t="s">
        <v>618</v>
      </c>
      <c r="E2031" s="39">
        <v>43601</v>
      </c>
      <c r="F2031" s="179">
        <v>0.5131944444444444</v>
      </c>
      <c r="G2031" s="180">
        <v>1</v>
      </c>
      <c r="H2031" s="180"/>
      <c r="I2031" s="180"/>
      <c r="J2031" s="180"/>
      <c r="K2031" s="180"/>
      <c r="L2031" s="180"/>
      <c r="M2031" s="180"/>
      <c r="N2031" s="180"/>
      <c r="O2031" s="180"/>
      <c r="P2031" s="180"/>
    </row>
    <row r="2032" spans="1:16" x14ac:dyDescent="0.45">
      <c r="A2032" s="180" t="s">
        <v>12</v>
      </c>
      <c r="B2032" s="73">
        <v>3</v>
      </c>
      <c r="C2032" s="73">
        <v>3</v>
      </c>
      <c r="D2032" s="180" t="s">
        <v>600</v>
      </c>
      <c r="E2032" s="39">
        <v>43603</v>
      </c>
      <c r="F2032" s="179">
        <v>0.70277777777777783</v>
      </c>
      <c r="G2032" s="180">
        <v>5</v>
      </c>
      <c r="H2032" s="180" t="s">
        <v>628</v>
      </c>
      <c r="I2032" s="180"/>
      <c r="J2032" s="180"/>
      <c r="K2032" s="180"/>
      <c r="L2032" s="180"/>
      <c r="M2032" s="180"/>
      <c r="N2032" s="180"/>
      <c r="O2032" s="180"/>
      <c r="P2032" s="180"/>
    </row>
    <row r="2033" spans="1:16" x14ac:dyDescent="0.45">
      <c r="A2033" s="180" t="s">
        <v>12</v>
      </c>
      <c r="B2033" s="73">
        <v>3</v>
      </c>
      <c r="C2033" s="73"/>
      <c r="D2033" s="180" t="s">
        <v>600</v>
      </c>
      <c r="E2033" s="39">
        <v>43603</v>
      </c>
      <c r="F2033" s="179">
        <v>0.70277777777777783</v>
      </c>
      <c r="G2033" s="180">
        <v>5</v>
      </c>
      <c r="H2033" s="180" t="s">
        <v>628</v>
      </c>
      <c r="I2033" s="180"/>
      <c r="J2033" s="180"/>
      <c r="K2033" s="180"/>
      <c r="L2033" s="180"/>
      <c r="M2033" s="180"/>
      <c r="N2033" s="180"/>
      <c r="O2033" s="180"/>
      <c r="P2033" s="180"/>
    </row>
    <row r="2034" spans="1:16" x14ac:dyDescent="0.45">
      <c r="A2034" s="1" t="s">
        <v>273</v>
      </c>
      <c r="B2034" s="73"/>
      <c r="C2034" s="73">
        <f>SUM(C1986:C2033)</f>
        <v>99</v>
      </c>
      <c r="D2034" s="180"/>
      <c r="E2034" s="39"/>
      <c r="F2034" s="179"/>
      <c r="G2034" s="180"/>
      <c r="H2034" s="180"/>
      <c r="I2034" s="180"/>
      <c r="J2034" s="180"/>
      <c r="K2034" s="180"/>
      <c r="L2034" s="180"/>
      <c r="M2034" s="180"/>
      <c r="N2034" s="180"/>
      <c r="O2034" s="180"/>
      <c r="P2034" s="180"/>
    </row>
    <row r="2035" spans="1:16" x14ac:dyDescent="0.45">
      <c r="A2035" s="180"/>
      <c r="B2035" s="73"/>
      <c r="C2035" s="73"/>
      <c r="D2035" s="180"/>
      <c r="E2035" s="39"/>
      <c r="F2035" s="179"/>
      <c r="G2035" s="180"/>
      <c r="H2035" s="180"/>
      <c r="I2035" s="180"/>
      <c r="J2035" s="180"/>
      <c r="K2035" s="180"/>
      <c r="L2035" s="180"/>
      <c r="M2035" s="180"/>
      <c r="N2035" s="180"/>
      <c r="O2035" s="180"/>
      <c r="P2035" s="180"/>
    </row>
    <row r="2036" spans="1:16" x14ac:dyDescent="0.45">
      <c r="A2036" s="180" t="s">
        <v>4</v>
      </c>
      <c r="B2036" s="73">
        <v>1</v>
      </c>
      <c r="C2036" s="73">
        <v>1</v>
      </c>
      <c r="D2036" s="180" t="s">
        <v>600</v>
      </c>
      <c r="E2036" s="39">
        <v>43587</v>
      </c>
      <c r="F2036" s="179">
        <v>0.4465277777777778</v>
      </c>
      <c r="G2036" s="180">
        <v>2</v>
      </c>
      <c r="H2036" s="180"/>
      <c r="I2036" s="180"/>
      <c r="J2036" s="180"/>
      <c r="K2036" s="180"/>
      <c r="L2036" s="180"/>
      <c r="M2036" s="180"/>
      <c r="N2036" s="180"/>
      <c r="O2036" s="180"/>
      <c r="P2036" s="180"/>
    </row>
    <row r="2037" spans="1:16" x14ac:dyDescent="0.45">
      <c r="A2037" s="180" t="s">
        <v>4</v>
      </c>
      <c r="B2037" s="73">
        <v>1</v>
      </c>
      <c r="C2037" s="73"/>
      <c r="D2037" s="180" t="s">
        <v>600</v>
      </c>
      <c r="E2037" s="39">
        <v>43595</v>
      </c>
      <c r="F2037" s="179">
        <v>0.51111111111111118</v>
      </c>
      <c r="G2037" s="180">
        <v>1</v>
      </c>
      <c r="H2037" s="180"/>
      <c r="I2037" s="180"/>
      <c r="J2037" s="180"/>
      <c r="K2037" s="180"/>
      <c r="L2037" s="180"/>
      <c r="M2037" s="180"/>
      <c r="N2037" s="180"/>
      <c r="O2037" s="180"/>
      <c r="P2037" s="180"/>
    </row>
    <row r="2038" spans="1:16" x14ac:dyDescent="0.45">
      <c r="A2038" s="180" t="s">
        <v>4</v>
      </c>
      <c r="B2038" s="73">
        <v>2</v>
      </c>
      <c r="C2038" s="73">
        <v>2</v>
      </c>
      <c r="D2038" s="180" t="s">
        <v>602</v>
      </c>
      <c r="E2038" s="39">
        <v>43595</v>
      </c>
      <c r="F2038" s="179">
        <v>0.43472222222222223</v>
      </c>
      <c r="G2038" s="180">
        <v>1</v>
      </c>
      <c r="H2038" s="180"/>
      <c r="I2038" s="180"/>
      <c r="J2038" s="180"/>
      <c r="K2038" s="180"/>
      <c r="L2038" s="180"/>
      <c r="M2038" s="180"/>
      <c r="N2038" s="180"/>
      <c r="O2038" s="180"/>
      <c r="P2038" s="180"/>
    </row>
    <row r="2039" spans="1:16" x14ac:dyDescent="0.45">
      <c r="A2039" s="180" t="s">
        <v>4</v>
      </c>
      <c r="B2039" s="73">
        <v>1</v>
      </c>
      <c r="C2039" s="73"/>
      <c r="D2039" s="180" t="s">
        <v>624</v>
      </c>
      <c r="E2039" s="39">
        <v>43596</v>
      </c>
      <c r="F2039" s="179">
        <v>0.50486111111111109</v>
      </c>
      <c r="G2039" s="180">
        <v>1</v>
      </c>
      <c r="H2039" s="180"/>
      <c r="I2039" s="180"/>
      <c r="J2039" s="180"/>
      <c r="K2039" s="180"/>
      <c r="L2039" s="180"/>
      <c r="M2039" s="180"/>
      <c r="N2039" s="180"/>
      <c r="O2039" s="180"/>
      <c r="P2039" s="180"/>
    </row>
    <row r="2040" spans="1:16" x14ac:dyDescent="0.45">
      <c r="A2040" s="180" t="s">
        <v>4</v>
      </c>
      <c r="B2040" s="73">
        <v>1</v>
      </c>
      <c r="C2040" s="73"/>
      <c r="D2040" s="180" t="s">
        <v>624</v>
      </c>
      <c r="E2040" s="39">
        <v>43596</v>
      </c>
      <c r="F2040" s="179">
        <v>0.50486111111111109</v>
      </c>
      <c r="G2040" s="180">
        <v>1</v>
      </c>
      <c r="H2040" s="180"/>
      <c r="I2040" s="180"/>
      <c r="J2040" s="180"/>
      <c r="K2040" s="180"/>
      <c r="L2040" s="180"/>
      <c r="M2040" s="180"/>
      <c r="N2040" s="180"/>
      <c r="O2040" s="180"/>
      <c r="P2040" s="180"/>
    </row>
    <row r="2041" spans="1:16" x14ac:dyDescent="0.45">
      <c r="A2041" s="180" t="s">
        <v>4</v>
      </c>
      <c r="B2041" s="73">
        <v>1</v>
      </c>
      <c r="C2041" s="73"/>
      <c r="D2041" s="180" t="s">
        <v>600</v>
      </c>
      <c r="E2041" s="39">
        <v>43596</v>
      </c>
      <c r="F2041" s="179">
        <v>0.28125</v>
      </c>
      <c r="G2041" s="180">
        <v>2</v>
      </c>
      <c r="H2041" s="180" t="s">
        <v>613</v>
      </c>
      <c r="I2041" s="180"/>
      <c r="J2041" s="180"/>
      <c r="K2041" s="180"/>
      <c r="L2041" s="180"/>
      <c r="M2041" s="180"/>
      <c r="N2041" s="180"/>
      <c r="O2041" s="180"/>
      <c r="P2041" s="180"/>
    </row>
    <row r="2042" spans="1:16" x14ac:dyDescent="0.45">
      <c r="A2042" s="180" t="s">
        <v>4</v>
      </c>
      <c r="B2042" s="73">
        <v>4</v>
      </c>
      <c r="C2042" s="73">
        <v>4</v>
      </c>
      <c r="D2042" s="180" t="s">
        <v>600</v>
      </c>
      <c r="E2042" s="39">
        <v>43596</v>
      </c>
      <c r="F2042" s="179">
        <v>0.59861111111111109</v>
      </c>
      <c r="G2042" s="180">
        <v>1</v>
      </c>
      <c r="H2042" s="180"/>
      <c r="I2042" s="180"/>
      <c r="J2042" s="180"/>
      <c r="K2042" s="180"/>
      <c r="L2042" s="180"/>
      <c r="M2042" s="180"/>
      <c r="N2042" s="180"/>
      <c r="O2042" s="180"/>
      <c r="P2042" s="180"/>
    </row>
    <row r="2043" spans="1:16" x14ac:dyDescent="0.45">
      <c r="A2043" s="180" t="s">
        <v>4</v>
      </c>
      <c r="B2043" s="73">
        <v>1</v>
      </c>
      <c r="C2043" s="73"/>
      <c r="D2043" s="180" t="s">
        <v>600</v>
      </c>
      <c r="E2043" s="39">
        <v>43596</v>
      </c>
      <c r="F2043" s="179">
        <v>0.44166666666666665</v>
      </c>
      <c r="G2043" s="180">
        <v>20</v>
      </c>
      <c r="H2043" s="180"/>
      <c r="I2043" s="180"/>
      <c r="J2043" s="180"/>
      <c r="K2043" s="180"/>
      <c r="L2043" s="180"/>
      <c r="M2043" s="180"/>
      <c r="N2043" s="180"/>
      <c r="O2043" s="180"/>
      <c r="P2043" s="180"/>
    </row>
    <row r="2044" spans="1:16" x14ac:dyDescent="0.45">
      <c r="A2044" s="180" t="s">
        <v>4</v>
      </c>
      <c r="B2044" s="73">
        <v>2</v>
      </c>
      <c r="C2044" s="73"/>
      <c r="D2044" s="180" t="s">
        <v>602</v>
      </c>
      <c r="E2044" s="39">
        <v>43596</v>
      </c>
      <c r="F2044" s="179">
        <v>0.33749999999999997</v>
      </c>
      <c r="G2044" s="180">
        <v>1</v>
      </c>
      <c r="H2044" s="180"/>
      <c r="I2044" s="180"/>
      <c r="J2044" s="180"/>
      <c r="K2044" s="180"/>
      <c r="L2044" s="180"/>
      <c r="M2044" s="180"/>
      <c r="N2044" s="180"/>
      <c r="O2044" s="180"/>
      <c r="P2044" s="180"/>
    </row>
    <row r="2045" spans="1:16" x14ac:dyDescent="0.45">
      <c r="A2045" s="180" t="s">
        <v>4</v>
      </c>
      <c r="B2045" s="73">
        <v>2</v>
      </c>
      <c r="C2045" s="73"/>
      <c r="D2045" s="180" t="s">
        <v>602</v>
      </c>
      <c r="E2045" s="39">
        <v>43596</v>
      </c>
      <c r="F2045" s="179">
        <v>0.33749999999999997</v>
      </c>
      <c r="G2045" s="180">
        <v>1</v>
      </c>
      <c r="H2045" s="180"/>
      <c r="I2045" s="180"/>
      <c r="J2045" s="180"/>
      <c r="K2045" s="180"/>
      <c r="L2045" s="180"/>
      <c r="M2045" s="180"/>
      <c r="N2045" s="180"/>
      <c r="O2045" s="180"/>
      <c r="P2045" s="180"/>
    </row>
    <row r="2046" spans="1:16" x14ac:dyDescent="0.45">
      <c r="A2046" s="180" t="s">
        <v>4</v>
      </c>
      <c r="B2046" s="73">
        <v>1</v>
      </c>
      <c r="C2046" s="73">
        <v>1</v>
      </c>
      <c r="D2046" s="180" t="s">
        <v>600</v>
      </c>
      <c r="E2046" s="39">
        <v>43597</v>
      </c>
      <c r="F2046" s="179">
        <v>0.4826388888888889</v>
      </c>
      <c r="G2046" s="180">
        <v>10</v>
      </c>
      <c r="H2046" s="180" t="s">
        <v>614</v>
      </c>
      <c r="I2046" s="180"/>
      <c r="J2046" s="180"/>
      <c r="K2046" s="180"/>
      <c r="L2046" s="180"/>
      <c r="M2046" s="180"/>
      <c r="N2046" s="180"/>
      <c r="O2046" s="180"/>
      <c r="P2046" s="180"/>
    </row>
    <row r="2047" spans="1:16" x14ac:dyDescent="0.45">
      <c r="A2047" s="180" t="s">
        <v>4</v>
      </c>
      <c r="B2047" s="73">
        <v>1</v>
      </c>
      <c r="C2047" s="73"/>
      <c r="D2047" s="180" t="s">
        <v>600</v>
      </c>
      <c r="E2047" s="39">
        <v>43597</v>
      </c>
      <c r="F2047" s="179">
        <v>0.44444444444444442</v>
      </c>
      <c r="G2047" s="180">
        <v>3</v>
      </c>
      <c r="H2047" s="180"/>
      <c r="I2047" s="180"/>
      <c r="J2047" s="180"/>
      <c r="K2047" s="180"/>
      <c r="L2047" s="180"/>
      <c r="M2047" s="180"/>
      <c r="N2047" s="180"/>
      <c r="O2047" s="180"/>
      <c r="P2047" s="180"/>
    </row>
    <row r="2048" spans="1:16" x14ac:dyDescent="0.45">
      <c r="A2048" s="180" t="s">
        <v>4</v>
      </c>
      <c r="B2048" s="73">
        <v>2</v>
      </c>
      <c r="C2048" s="73"/>
      <c r="D2048" s="180" t="s">
        <v>632</v>
      </c>
      <c r="E2048" s="39">
        <v>43597</v>
      </c>
      <c r="F2048" s="179">
        <v>0.49444444444444446</v>
      </c>
      <c r="G2048" s="180">
        <v>1</v>
      </c>
      <c r="H2048" s="180"/>
      <c r="I2048" s="180"/>
      <c r="J2048" s="180"/>
      <c r="K2048" s="180"/>
      <c r="L2048" s="180"/>
      <c r="M2048" s="180"/>
      <c r="N2048" s="180"/>
      <c r="O2048" s="180"/>
      <c r="P2048" s="180"/>
    </row>
    <row r="2049" spans="1:16" x14ac:dyDescent="0.45">
      <c r="A2049" s="180" t="s">
        <v>4</v>
      </c>
      <c r="B2049" s="73">
        <v>3</v>
      </c>
      <c r="C2049" s="73">
        <v>3</v>
      </c>
      <c r="D2049" s="180" t="s">
        <v>602</v>
      </c>
      <c r="E2049" s="39">
        <v>43598</v>
      </c>
      <c r="F2049" s="179">
        <v>0.60486111111111118</v>
      </c>
      <c r="G2049" s="180">
        <v>2</v>
      </c>
      <c r="H2049" s="180"/>
      <c r="I2049" s="180"/>
      <c r="J2049" s="180"/>
      <c r="K2049" s="180"/>
      <c r="L2049" s="180"/>
      <c r="M2049" s="180"/>
      <c r="N2049" s="180"/>
      <c r="O2049" s="180"/>
      <c r="P2049" s="180"/>
    </row>
    <row r="2050" spans="1:16" x14ac:dyDescent="0.45">
      <c r="A2050" s="180" t="s">
        <v>4</v>
      </c>
      <c r="B2050" s="73">
        <v>2</v>
      </c>
      <c r="C2050" s="73">
        <v>2</v>
      </c>
      <c r="D2050" s="180" t="s">
        <v>618</v>
      </c>
      <c r="E2050" s="39">
        <v>43599</v>
      </c>
      <c r="F2050" s="179">
        <v>0.59375</v>
      </c>
      <c r="G2050" s="180">
        <v>2</v>
      </c>
      <c r="H2050" s="180"/>
      <c r="I2050" s="180"/>
      <c r="J2050" s="180"/>
      <c r="K2050" s="180"/>
      <c r="L2050" s="180"/>
      <c r="M2050" s="180"/>
      <c r="N2050" s="180"/>
      <c r="O2050" s="180"/>
      <c r="P2050" s="180"/>
    </row>
    <row r="2051" spans="1:16" x14ac:dyDescent="0.45">
      <c r="A2051" s="180" t="s">
        <v>4</v>
      </c>
      <c r="B2051" s="73">
        <v>2</v>
      </c>
      <c r="C2051" s="73"/>
      <c r="D2051" s="180" t="s">
        <v>618</v>
      </c>
      <c r="E2051" s="39">
        <v>43599</v>
      </c>
      <c r="F2051" s="179">
        <v>0.59375</v>
      </c>
      <c r="G2051" s="180">
        <v>2</v>
      </c>
      <c r="H2051" s="180"/>
      <c r="I2051" s="180"/>
      <c r="J2051" s="180"/>
      <c r="K2051" s="180"/>
      <c r="L2051" s="180"/>
      <c r="M2051" s="180"/>
      <c r="N2051" s="180"/>
      <c r="O2051" s="180"/>
      <c r="P2051" s="180"/>
    </row>
    <row r="2052" spans="1:16" x14ac:dyDescent="0.45">
      <c r="A2052" s="180" t="s">
        <v>4</v>
      </c>
      <c r="B2052" s="73">
        <v>2</v>
      </c>
      <c r="C2052" s="73"/>
      <c r="D2052" s="180" t="s">
        <v>600</v>
      </c>
      <c r="E2052" s="39">
        <v>43599</v>
      </c>
      <c r="F2052" s="179">
        <v>0.4201388888888889</v>
      </c>
      <c r="G2052" s="180">
        <v>1</v>
      </c>
      <c r="H2052" s="180"/>
      <c r="I2052" s="180"/>
      <c r="J2052" s="180"/>
      <c r="K2052" s="180"/>
      <c r="L2052" s="180"/>
      <c r="M2052" s="180"/>
      <c r="N2052" s="180"/>
      <c r="O2052" s="180"/>
      <c r="P2052" s="180"/>
    </row>
    <row r="2053" spans="1:16" x14ac:dyDescent="0.45">
      <c r="A2053" s="180" t="s">
        <v>4</v>
      </c>
      <c r="B2053" s="73">
        <v>2</v>
      </c>
      <c r="C2053" s="73">
        <v>2</v>
      </c>
      <c r="D2053" s="180" t="s">
        <v>618</v>
      </c>
      <c r="E2053" s="39">
        <v>43601</v>
      </c>
      <c r="F2053" s="179">
        <v>0.5131944444444444</v>
      </c>
      <c r="G2053" s="180">
        <v>1</v>
      </c>
      <c r="H2053" s="180"/>
      <c r="I2053" s="180"/>
      <c r="J2053" s="180"/>
      <c r="K2053" s="180"/>
      <c r="L2053" s="180"/>
      <c r="M2053" s="180"/>
      <c r="N2053" s="180"/>
      <c r="O2053" s="180"/>
      <c r="P2053" s="180"/>
    </row>
    <row r="2054" spans="1:16" x14ac:dyDescent="0.45">
      <c r="A2054" s="1" t="s">
        <v>273</v>
      </c>
      <c r="B2054" s="73"/>
      <c r="C2054" s="73">
        <f>SUM(C2036:C2053)</f>
        <v>15</v>
      </c>
      <c r="D2054" s="180"/>
      <c r="E2054" s="39"/>
      <c r="F2054" s="179"/>
      <c r="G2054" s="180"/>
      <c r="H2054" s="180"/>
      <c r="I2054" s="180"/>
      <c r="J2054" s="180"/>
      <c r="K2054" s="180"/>
      <c r="L2054" s="180"/>
      <c r="M2054" s="180"/>
      <c r="N2054" s="180"/>
      <c r="O2054" s="180"/>
      <c r="P2054" s="180"/>
    </row>
    <row r="2055" spans="1:16" x14ac:dyDescent="0.45">
      <c r="A2055" s="180"/>
      <c r="B2055" s="73"/>
      <c r="C2055" s="73"/>
      <c r="D2055" s="180"/>
      <c r="E2055" s="39"/>
      <c r="F2055" s="179"/>
      <c r="G2055" s="180"/>
      <c r="H2055" s="180"/>
      <c r="I2055" s="180"/>
      <c r="J2055" s="180"/>
      <c r="K2055" s="180"/>
      <c r="L2055" s="180"/>
      <c r="M2055" s="180"/>
      <c r="N2055" s="180"/>
      <c r="O2055" s="180"/>
      <c r="P2055" s="180"/>
    </row>
    <row r="2056" spans="1:16" x14ac:dyDescent="0.45">
      <c r="A2056" s="180" t="s">
        <v>54</v>
      </c>
      <c r="B2056" s="73">
        <v>3</v>
      </c>
      <c r="C2056" s="73">
        <v>3</v>
      </c>
      <c r="D2056" s="180" t="s">
        <v>600</v>
      </c>
      <c r="E2056" s="39">
        <v>43594</v>
      </c>
      <c r="F2056" s="179">
        <v>0.37222222222222223</v>
      </c>
      <c r="G2056" s="180">
        <v>24</v>
      </c>
      <c r="H2056" s="180"/>
      <c r="I2056" s="180"/>
      <c r="J2056" s="180"/>
      <c r="K2056" s="180"/>
      <c r="L2056" s="180"/>
      <c r="M2056" s="180"/>
      <c r="N2056" s="180"/>
      <c r="O2056" s="180"/>
      <c r="P2056" s="180"/>
    </row>
    <row r="2057" spans="1:16" x14ac:dyDescent="0.45">
      <c r="A2057" s="180" t="s">
        <v>54</v>
      </c>
      <c r="B2057" s="73">
        <v>3</v>
      </c>
      <c r="C2057" s="73"/>
      <c r="D2057" s="180" t="s">
        <v>600</v>
      </c>
      <c r="E2057" s="39">
        <v>43594</v>
      </c>
      <c r="F2057" s="179">
        <v>0.37222222222222223</v>
      </c>
      <c r="G2057" s="180">
        <v>24</v>
      </c>
      <c r="H2057" s="180"/>
      <c r="I2057" s="180"/>
      <c r="J2057" s="180"/>
      <c r="K2057" s="180"/>
      <c r="L2057" s="180"/>
      <c r="M2057" s="180"/>
      <c r="N2057" s="180"/>
      <c r="O2057" s="180"/>
      <c r="P2057" s="180"/>
    </row>
    <row r="2058" spans="1:16" x14ac:dyDescent="0.45">
      <c r="A2058" s="180" t="s">
        <v>54</v>
      </c>
      <c r="B2058" s="73">
        <v>3</v>
      </c>
      <c r="C2058" s="73"/>
      <c r="D2058" s="180" t="s">
        <v>600</v>
      </c>
      <c r="E2058" s="39">
        <v>43594</v>
      </c>
      <c r="F2058" s="179">
        <v>0.37222222222222223</v>
      </c>
      <c r="G2058" s="180">
        <v>24</v>
      </c>
      <c r="H2058" s="180"/>
      <c r="I2058" s="180"/>
      <c r="J2058" s="180"/>
      <c r="K2058" s="180"/>
      <c r="L2058" s="180"/>
      <c r="M2058" s="180"/>
      <c r="N2058" s="180"/>
      <c r="O2058" s="180"/>
      <c r="P2058" s="180"/>
    </row>
    <row r="2059" spans="1:16" x14ac:dyDescent="0.45">
      <c r="A2059" s="180" t="s">
        <v>54</v>
      </c>
      <c r="B2059" s="73">
        <v>3</v>
      </c>
      <c r="C2059" s="73"/>
      <c r="D2059" s="180" t="s">
        <v>600</v>
      </c>
      <c r="E2059" s="39">
        <v>43594</v>
      </c>
      <c r="F2059" s="179">
        <v>0.37222222222222223</v>
      </c>
      <c r="G2059" s="180">
        <v>24</v>
      </c>
      <c r="H2059" s="180"/>
      <c r="I2059" s="180"/>
      <c r="J2059" s="180"/>
      <c r="K2059" s="180"/>
      <c r="L2059" s="180"/>
      <c r="M2059" s="180"/>
      <c r="N2059" s="180"/>
      <c r="O2059" s="180"/>
      <c r="P2059" s="180"/>
    </row>
    <row r="2060" spans="1:16" x14ac:dyDescent="0.45">
      <c r="A2060" s="180" t="s">
        <v>54</v>
      </c>
      <c r="B2060" s="73">
        <v>3</v>
      </c>
      <c r="C2060" s="73"/>
      <c r="D2060" s="180" t="s">
        <v>600</v>
      </c>
      <c r="E2060" s="39">
        <v>43594</v>
      </c>
      <c r="F2060" s="179">
        <v>0.60625000000000007</v>
      </c>
      <c r="G2060" s="180">
        <v>1</v>
      </c>
      <c r="H2060" s="180" t="s">
        <v>645</v>
      </c>
      <c r="I2060" s="180"/>
      <c r="J2060" s="180"/>
      <c r="K2060" s="180"/>
      <c r="L2060" s="180"/>
      <c r="M2060" s="180"/>
      <c r="N2060" s="180"/>
      <c r="O2060" s="180"/>
      <c r="P2060" s="180"/>
    </row>
    <row r="2061" spans="1:16" x14ac:dyDescent="0.45">
      <c r="A2061" s="180" t="s">
        <v>54</v>
      </c>
      <c r="B2061" s="73">
        <v>3</v>
      </c>
      <c r="C2061" s="73"/>
      <c r="D2061" s="180" t="s">
        <v>600</v>
      </c>
      <c r="E2061" s="39">
        <v>43594</v>
      </c>
      <c r="F2061" s="179">
        <v>0.37222222222222223</v>
      </c>
      <c r="G2061" s="180">
        <v>24</v>
      </c>
      <c r="H2061" s="180"/>
      <c r="I2061" s="180"/>
      <c r="J2061" s="180"/>
      <c r="K2061" s="180"/>
      <c r="L2061" s="180"/>
      <c r="M2061" s="180"/>
      <c r="N2061" s="180"/>
      <c r="O2061" s="180"/>
      <c r="P2061" s="180"/>
    </row>
    <row r="2062" spans="1:16" x14ac:dyDescent="0.45">
      <c r="A2062" s="180" t="s">
        <v>54</v>
      </c>
      <c r="B2062" s="73">
        <v>3</v>
      </c>
      <c r="C2062" s="73"/>
      <c r="D2062" s="180" t="s">
        <v>600</v>
      </c>
      <c r="E2062" s="39">
        <v>43594</v>
      </c>
      <c r="F2062" s="179">
        <v>0.37222222222222223</v>
      </c>
      <c r="G2062" s="180">
        <v>24</v>
      </c>
      <c r="H2062" s="180"/>
      <c r="I2062" s="180"/>
      <c r="J2062" s="180"/>
      <c r="K2062" s="180"/>
      <c r="L2062" s="180"/>
      <c r="M2062" s="180"/>
      <c r="N2062" s="180"/>
      <c r="O2062" s="180"/>
      <c r="P2062" s="180"/>
    </row>
    <row r="2063" spans="1:16" x14ac:dyDescent="0.45">
      <c r="A2063" s="180" t="s">
        <v>54</v>
      </c>
      <c r="B2063" s="73">
        <v>3</v>
      </c>
      <c r="C2063" s="73"/>
      <c r="D2063" s="180" t="s">
        <v>602</v>
      </c>
      <c r="E2063" s="39">
        <v>43594</v>
      </c>
      <c r="F2063" s="179">
        <v>0.5</v>
      </c>
      <c r="G2063" s="180">
        <v>1</v>
      </c>
      <c r="H2063" s="180"/>
      <c r="I2063" s="180"/>
      <c r="J2063" s="180"/>
      <c r="K2063" s="180"/>
      <c r="L2063" s="180"/>
      <c r="M2063" s="180"/>
      <c r="N2063" s="180"/>
      <c r="O2063" s="180"/>
      <c r="P2063" s="180"/>
    </row>
    <row r="2064" spans="1:16" x14ac:dyDescent="0.45">
      <c r="A2064" s="180" t="s">
        <v>54</v>
      </c>
      <c r="B2064" s="73">
        <v>1</v>
      </c>
      <c r="C2064" s="73"/>
      <c r="D2064" s="180" t="s">
        <v>600</v>
      </c>
      <c r="E2064" s="39">
        <v>43595</v>
      </c>
      <c r="F2064" s="179">
        <v>0.56666666666666665</v>
      </c>
      <c r="G2064" s="180">
        <v>3</v>
      </c>
      <c r="H2064" s="180"/>
      <c r="I2064" s="180"/>
      <c r="J2064" s="180"/>
      <c r="K2064" s="180"/>
      <c r="L2064" s="180"/>
      <c r="M2064" s="180"/>
      <c r="N2064" s="180"/>
      <c r="O2064" s="180"/>
      <c r="P2064" s="180"/>
    </row>
    <row r="2065" spans="1:16" x14ac:dyDescent="0.45">
      <c r="A2065" s="180" t="s">
        <v>54</v>
      </c>
      <c r="B2065" s="73">
        <v>7</v>
      </c>
      <c r="C2065" s="73"/>
      <c r="D2065" s="180" t="s">
        <v>600</v>
      </c>
      <c r="E2065" s="39">
        <v>43595</v>
      </c>
      <c r="F2065" s="179">
        <v>0.37361111111111112</v>
      </c>
      <c r="G2065" s="180">
        <v>24</v>
      </c>
      <c r="H2065" s="180"/>
      <c r="I2065" s="180"/>
      <c r="J2065" s="180"/>
      <c r="K2065" s="180"/>
      <c r="L2065" s="180"/>
      <c r="M2065" s="180"/>
      <c r="N2065" s="180"/>
      <c r="O2065" s="180"/>
      <c r="P2065" s="180"/>
    </row>
    <row r="2066" spans="1:16" x14ac:dyDescent="0.45">
      <c r="A2066" s="180" t="s">
        <v>54</v>
      </c>
      <c r="B2066" s="73">
        <v>7</v>
      </c>
      <c r="C2066" s="73"/>
      <c r="D2066" s="180" t="s">
        <v>600</v>
      </c>
      <c r="E2066" s="39">
        <v>43595</v>
      </c>
      <c r="F2066" s="179">
        <v>0.37361111111111112</v>
      </c>
      <c r="G2066" s="180">
        <v>24</v>
      </c>
      <c r="H2066" s="180"/>
      <c r="I2066" s="180"/>
      <c r="J2066" s="180"/>
      <c r="K2066" s="180"/>
      <c r="L2066" s="180"/>
      <c r="M2066" s="180"/>
      <c r="N2066" s="180"/>
      <c r="O2066" s="180"/>
      <c r="P2066" s="180"/>
    </row>
    <row r="2067" spans="1:16" x14ac:dyDescent="0.45">
      <c r="A2067" s="180" t="s">
        <v>54</v>
      </c>
      <c r="B2067" s="73">
        <v>6</v>
      </c>
      <c r="C2067" s="73"/>
      <c r="D2067" s="180" t="s">
        <v>600</v>
      </c>
      <c r="E2067" s="39">
        <v>43595</v>
      </c>
      <c r="F2067" s="179">
        <v>0.51111111111111118</v>
      </c>
      <c r="G2067" s="180">
        <v>1</v>
      </c>
      <c r="H2067" s="180"/>
      <c r="I2067" s="180"/>
      <c r="J2067" s="180"/>
      <c r="K2067" s="180"/>
      <c r="L2067" s="180"/>
      <c r="M2067" s="180"/>
      <c r="N2067" s="180"/>
      <c r="O2067" s="180"/>
      <c r="P2067" s="180"/>
    </row>
    <row r="2068" spans="1:16" x14ac:dyDescent="0.45">
      <c r="A2068" s="180" t="s">
        <v>54</v>
      </c>
      <c r="B2068" s="73">
        <v>1</v>
      </c>
      <c r="C2068" s="73"/>
      <c r="D2068" s="180" t="s">
        <v>600</v>
      </c>
      <c r="E2068" s="39">
        <v>43595</v>
      </c>
      <c r="F2068" s="179">
        <v>0.56666666666666665</v>
      </c>
      <c r="G2068" s="180">
        <v>3</v>
      </c>
      <c r="H2068" s="180"/>
      <c r="I2068" s="180"/>
      <c r="J2068" s="180"/>
      <c r="K2068" s="180"/>
      <c r="L2068" s="180"/>
      <c r="M2068" s="180"/>
      <c r="N2068" s="180"/>
      <c r="O2068" s="180"/>
      <c r="P2068" s="180"/>
    </row>
    <row r="2069" spans="1:16" x14ac:dyDescent="0.45">
      <c r="A2069" s="180" t="s">
        <v>54</v>
      </c>
      <c r="B2069" s="73">
        <v>7</v>
      </c>
      <c r="C2069" s="73"/>
      <c r="D2069" s="180" t="s">
        <v>600</v>
      </c>
      <c r="E2069" s="39">
        <v>43595</v>
      </c>
      <c r="F2069" s="179">
        <v>0.37361111111111112</v>
      </c>
      <c r="G2069" s="180">
        <v>24</v>
      </c>
      <c r="H2069" s="180"/>
      <c r="I2069" s="180"/>
      <c r="J2069" s="180"/>
      <c r="K2069" s="180"/>
      <c r="L2069" s="180"/>
      <c r="M2069" s="180"/>
      <c r="N2069" s="180"/>
      <c r="O2069" s="180"/>
      <c r="P2069" s="180"/>
    </row>
    <row r="2070" spans="1:16" x14ac:dyDescent="0.45">
      <c r="A2070" s="180" t="s">
        <v>54</v>
      </c>
      <c r="B2070" s="73">
        <v>7</v>
      </c>
      <c r="C2070" s="73"/>
      <c r="D2070" s="180" t="s">
        <v>600</v>
      </c>
      <c r="E2070" s="39">
        <v>43595</v>
      </c>
      <c r="F2070" s="179">
        <v>0.37361111111111112</v>
      </c>
      <c r="G2070" s="180">
        <v>24</v>
      </c>
      <c r="H2070" s="180"/>
      <c r="I2070" s="180"/>
      <c r="J2070" s="180"/>
      <c r="K2070" s="180"/>
      <c r="L2070" s="180"/>
      <c r="M2070" s="180"/>
      <c r="N2070" s="180"/>
      <c r="O2070" s="180"/>
      <c r="P2070" s="180"/>
    </row>
    <row r="2071" spans="1:16" x14ac:dyDescent="0.45">
      <c r="A2071" s="180" t="s">
        <v>54</v>
      </c>
      <c r="B2071" s="73">
        <v>7</v>
      </c>
      <c r="C2071" s="73"/>
      <c r="D2071" s="180" t="s">
        <v>600</v>
      </c>
      <c r="E2071" s="39">
        <v>43595</v>
      </c>
      <c r="F2071" s="179">
        <v>0.37361111111111112</v>
      </c>
      <c r="G2071" s="180">
        <v>24</v>
      </c>
      <c r="H2071" s="180"/>
      <c r="I2071" s="180"/>
      <c r="J2071" s="180"/>
      <c r="K2071" s="180"/>
      <c r="L2071" s="180"/>
      <c r="M2071" s="180"/>
      <c r="N2071" s="180"/>
      <c r="O2071" s="180"/>
      <c r="P2071" s="180"/>
    </row>
    <row r="2072" spans="1:16" x14ac:dyDescent="0.45">
      <c r="A2072" s="180" t="s">
        <v>54</v>
      </c>
      <c r="B2072" s="73">
        <v>1</v>
      </c>
      <c r="C2072" s="73"/>
      <c r="D2072" s="180" t="s">
        <v>600</v>
      </c>
      <c r="E2072" s="39">
        <v>43595</v>
      </c>
      <c r="F2072" s="179">
        <v>0.56666666666666665</v>
      </c>
      <c r="G2072" s="180">
        <v>3</v>
      </c>
      <c r="H2072" s="180"/>
      <c r="I2072" s="180"/>
      <c r="J2072" s="180"/>
      <c r="K2072" s="180"/>
      <c r="L2072" s="180"/>
      <c r="M2072" s="180"/>
      <c r="N2072" s="180"/>
      <c r="O2072" s="180"/>
      <c r="P2072" s="180"/>
    </row>
    <row r="2073" spans="1:16" x14ac:dyDescent="0.45">
      <c r="A2073" s="180" t="s">
        <v>54</v>
      </c>
      <c r="B2073" s="73">
        <v>7</v>
      </c>
      <c r="C2073" s="73"/>
      <c r="D2073" s="180" t="s">
        <v>600</v>
      </c>
      <c r="E2073" s="39">
        <v>43595</v>
      </c>
      <c r="F2073" s="179">
        <v>0.37361111111111112</v>
      </c>
      <c r="G2073" s="180">
        <v>24</v>
      </c>
      <c r="H2073" s="180"/>
      <c r="I2073" s="180"/>
      <c r="J2073" s="180"/>
      <c r="K2073" s="180"/>
      <c r="L2073" s="180"/>
      <c r="M2073" s="180"/>
      <c r="N2073" s="180"/>
      <c r="O2073" s="180"/>
      <c r="P2073" s="180"/>
    </row>
    <row r="2074" spans="1:16" x14ac:dyDescent="0.45">
      <c r="A2074" s="180" t="s">
        <v>54</v>
      </c>
      <c r="B2074" s="73">
        <v>8</v>
      </c>
      <c r="C2074" s="73">
        <v>8</v>
      </c>
      <c r="D2074" s="180" t="s">
        <v>602</v>
      </c>
      <c r="E2074" s="39">
        <v>43595</v>
      </c>
      <c r="F2074" s="179">
        <v>0.64861111111111114</v>
      </c>
      <c r="G2074" s="180">
        <v>3</v>
      </c>
      <c r="H2074" s="180"/>
      <c r="I2074" s="180"/>
      <c r="J2074" s="180"/>
      <c r="K2074" s="180"/>
      <c r="L2074" s="180"/>
      <c r="M2074" s="180"/>
      <c r="N2074" s="180"/>
      <c r="O2074" s="180"/>
      <c r="P2074" s="180"/>
    </row>
    <row r="2075" spans="1:16" x14ac:dyDescent="0.45">
      <c r="A2075" s="180" t="s">
        <v>54</v>
      </c>
      <c r="B2075" s="73">
        <v>1</v>
      </c>
      <c r="C2075" s="73">
        <v>1</v>
      </c>
      <c r="D2075" s="180" t="s">
        <v>600</v>
      </c>
      <c r="E2075" s="39">
        <v>43596</v>
      </c>
      <c r="F2075" s="179">
        <v>0.59861111111111109</v>
      </c>
      <c r="G2075" s="180">
        <v>1</v>
      </c>
      <c r="H2075" s="180"/>
      <c r="I2075" s="180"/>
      <c r="J2075" s="180"/>
      <c r="K2075" s="180"/>
      <c r="L2075" s="180"/>
      <c r="M2075" s="180"/>
      <c r="N2075" s="180"/>
      <c r="O2075" s="180"/>
      <c r="P2075" s="180"/>
    </row>
    <row r="2076" spans="1:16" x14ac:dyDescent="0.45">
      <c r="A2076" s="180" t="s">
        <v>54</v>
      </c>
      <c r="B2076" s="73">
        <v>1</v>
      </c>
      <c r="C2076" s="73"/>
      <c r="D2076" s="180" t="s">
        <v>600</v>
      </c>
      <c r="E2076" s="39">
        <v>43596</v>
      </c>
      <c r="F2076" s="179">
        <v>0.28125</v>
      </c>
      <c r="G2076" s="180">
        <v>2</v>
      </c>
      <c r="H2076" s="180" t="s">
        <v>613</v>
      </c>
      <c r="I2076" s="180"/>
      <c r="J2076" s="180"/>
      <c r="K2076" s="180"/>
      <c r="L2076" s="180"/>
      <c r="M2076" s="180"/>
      <c r="N2076" s="180"/>
      <c r="O2076" s="180"/>
      <c r="P2076" s="180"/>
    </row>
    <row r="2077" spans="1:16" x14ac:dyDescent="0.45">
      <c r="A2077" s="180" t="s">
        <v>54</v>
      </c>
      <c r="B2077" s="73">
        <v>1</v>
      </c>
      <c r="C2077" s="73"/>
      <c r="D2077" s="180" t="s">
        <v>602</v>
      </c>
      <c r="E2077" s="39">
        <v>43596</v>
      </c>
      <c r="F2077" s="179">
        <v>0.33749999999999997</v>
      </c>
      <c r="G2077" s="180">
        <v>1</v>
      </c>
      <c r="H2077" s="180"/>
      <c r="I2077" s="180"/>
      <c r="J2077" s="180"/>
      <c r="K2077" s="180"/>
      <c r="L2077" s="180"/>
      <c r="M2077" s="180"/>
      <c r="N2077" s="180"/>
      <c r="O2077" s="180"/>
      <c r="P2077" s="180"/>
    </row>
    <row r="2078" spans="1:16" x14ac:dyDescent="0.45">
      <c r="A2078" s="180" t="s">
        <v>54</v>
      </c>
      <c r="B2078" s="73">
        <v>1</v>
      </c>
      <c r="C2078" s="73"/>
      <c r="D2078" s="180" t="s">
        <v>602</v>
      </c>
      <c r="E2078" s="39">
        <v>43596</v>
      </c>
      <c r="F2078" s="179">
        <v>0.33749999999999997</v>
      </c>
      <c r="G2078" s="180">
        <v>1</v>
      </c>
      <c r="H2078" s="180"/>
      <c r="I2078" s="180"/>
      <c r="J2078" s="180"/>
      <c r="K2078" s="180"/>
      <c r="L2078" s="180"/>
      <c r="M2078" s="180"/>
      <c r="N2078" s="180"/>
      <c r="O2078" s="180"/>
      <c r="P2078" s="180"/>
    </row>
    <row r="2079" spans="1:16" x14ac:dyDescent="0.45">
      <c r="A2079" s="180" t="s">
        <v>54</v>
      </c>
      <c r="B2079" s="73">
        <v>1</v>
      </c>
      <c r="C2079" s="73"/>
      <c r="D2079" s="180" t="s">
        <v>600</v>
      </c>
      <c r="E2079" s="39">
        <v>43597</v>
      </c>
      <c r="F2079" s="179">
        <v>0.45555555555555555</v>
      </c>
      <c r="G2079" s="180">
        <v>4</v>
      </c>
      <c r="H2079" s="180"/>
      <c r="I2079" s="180"/>
      <c r="J2079" s="180"/>
      <c r="K2079" s="180"/>
      <c r="L2079" s="180"/>
      <c r="M2079" s="180"/>
      <c r="N2079" s="180"/>
      <c r="O2079" s="180"/>
      <c r="P2079" s="180"/>
    </row>
    <row r="2080" spans="1:16" x14ac:dyDescent="0.45">
      <c r="A2080" s="180" t="s">
        <v>54</v>
      </c>
      <c r="B2080" s="73">
        <v>1</v>
      </c>
      <c r="C2080" s="73"/>
      <c r="D2080" s="180" t="s">
        <v>600</v>
      </c>
      <c r="E2080" s="39">
        <v>43597</v>
      </c>
      <c r="F2080" s="179">
        <v>0.45763888888888887</v>
      </c>
      <c r="G2080" s="180">
        <v>3</v>
      </c>
      <c r="H2080" s="180"/>
      <c r="I2080" s="180"/>
      <c r="J2080" s="180"/>
      <c r="K2080" s="180"/>
      <c r="L2080" s="180"/>
      <c r="M2080" s="180"/>
      <c r="N2080" s="180"/>
      <c r="O2080" s="180"/>
      <c r="P2080" s="180"/>
    </row>
    <row r="2081" spans="1:16" x14ac:dyDescent="0.45">
      <c r="A2081" s="180" t="s">
        <v>54</v>
      </c>
      <c r="B2081" s="73">
        <v>4</v>
      </c>
      <c r="C2081" s="73">
        <v>4</v>
      </c>
      <c r="D2081" s="180" t="s">
        <v>600</v>
      </c>
      <c r="E2081" s="39">
        <v>43597</v>
      </c>
      <c r="F2081" s="179">
        <v>0.5083333333333333</v>
      </c>
      <c r="G2081" s="180">
        <v>1</v>
      </c>
      <c r="H2081" s="180"/>
      <c r="I2081" s="180"/>
      <c r="J2081" s="180"/>
      <c r="K2081" s="180"/>
      <c r="L2081" s="180"/>
      <c r="M2081" s="180"/>
      <c r="N2081" s="180"/>
      <c r="O2081" s="180"/>
      <c r="P2081" s="180"/>
    </row>
    <row r="2082" spans="1:16" x14ac:dyDescent="0.45">
      <c r="A2082" s="180" t="s">
        <v>54</v>
      </c>
      <c r="B2082" s="73">
        <v>1</v>
      </c>
      <c r="C2082" s="73"/>
      <c r="D2082" s="180" t="s">
        <v>600</v>
      </c>
      <c r="E2082" s="39">
        <v>43597</v>
      </c>
      <c r="F2082" s="179">
        <v>0.46527777777777773</v>
      </c>
      <c r="G2082" s="180">
        <v>1</v>
      </c>
      <c r="H2082" s="180" t="s">
        <v>610</v>
      </c>
      <c r="I2082" s="180"/>
      <c r="J2082" s="180"/>
      <c r="K2082" s="180"/>
      <c r="L2082" s="180"/>
      <c r="M2082" s="180"/>
      <c r="N2082" s="180"/>
      <c r="O2082" s="180"/>
      <c r="P2082" s="180"/>
    </row>
    <row r="2083" spans="1:16" x14ac:dyDescent="0.45">
      <c r="A2083" s="180" t="s">
        <v>54</v>
      </c>
      <c r="B2083" s="73">
        <v>1</v>
      </c>
      <c r="C2083" s="73"/>
      <c r="D2083" s="180" t="s">
        <v>600</v>
      </c>
      <c r="E2083" s="39">
        <v>43597</v>
      </c>
      <c r="F2083" s="179">
        <v>0.45833333333333331</v>
      </c>
      <c r="G2083" s="180">
        <v>3</v>
      </c>
      <c r="H2083" s="180"/>
      <c r="I2083" s="180"/>
      <c r="J2083" s="180"/>
      <c r="K2083" s="180"/>
      <c r="L2083" s="180"/>
      <c r="M2083" s="180"/>
      <c r="N2083" s="180"/>
      <c r="O2083" s="180"/>
      <c r="P2083" s="180"/>
    </row>
    <row r="2084" spans="1:16" x14ac:dyDescent="0.45">
      <c r="A2084" s="180" t="s">
        <v>54</v>
      </c>
      <c r="B2084" s="73">
        <v>1</v>
      </c>
      <c r="C2084" s="73"/>
      <c r="D2084" s="180" t="s">
        <v>600</v>
      </c>
      <c r="E2084" s="39">
        <v>43597</v>
      </c>
      <c r="F2084" s="179">
        <v>0.4375</v>
      </c>
      <c r="G2084" s="180">
        <v>12</v>
      </c>
      <c r="H2084" s="180" t="s">
        <v>615</v>
      </c>
      <c r="I2084" s="180"/>
      <c r="J2084" s="180"/>
      <c r="K2084" s="180"/>
      <c r="L2084" s="180"/>
      <c r="M2084" s="180"/>
      <c r="N2084" s="180"/>
      <c r="O2084" s="180"/>
      <c r="P2084" s="180"/>
    </row>
    <row r="2085" spans="1:16" x14ac:dyDescent="0.45">
      <c r="A2085" s="180" t="s">
        <v>54</v>
      </c>
      <c r="B2085" s="73">
        <v>1</v>
      </c>
      <c r="C2085" s="73"/>
      <c r="D2085" s="180" t="s">
        <v>600</v>
      </c>
      <c r="E2085" s="39">
        <v>43597</v>
      </c>
      <c r="F2085" s="179">
        <v>0.4826388888888889</v>
      </c>
      <c r="G2085" s="180">
        <v>10</v>
      </c>
      <c r="H2085" s="180" t="s">
        <v>614</v>
      </c>
      <c r="I2085" s="180"/>
      <c r="J2085" s="180"/>
      <c r="K2085" s="180"/>
      <c r="L2085" s="180"/>
      <c r="M2085" s="180"/>
      <c r="N2085" s="180"/>
      <c r="O2085" s="180"/>
      <c r="P2085" s="180"/>
    </row>
    <row r="2086" spans="1:16" x14ac:dyDescent="0.45">
      <c r="A2086" s="180" t="s">
        <v>54</v>
      </c>
      <c r="B2086" s="73">
        <v>2</v>
      </c>
      <c r="C2086" s="73"/>
      <c r="D2086" s="180" t="s">
        <v>602</v>
      </c>
      <c r="E2086" s="39">
        <v>43597</v>
      </c>
      <c r="F2086" s="179">
        <v>0.49027777777777781</v>
      </c>
      <c r="G2086" s="180">
        <v>9</v>
      </c>
      <c r="H2086" s="180" t="s">
        <v>616</v>
      </c>
      <c r="I2086" s="180"/>
      <c r="J2086" s="180"/>
      <c r="K2086" s="180"/>
      <c r="L2086" s="180"/>
      <c r="M2086" s="180"/>
      <c r="N2086" s="180"/>
      <c r="O2086" s="180"/>
      <c r="P2086" s="180"/>
    </row>
    <row r="2087" spans="1:16" x14ac:dyDescent="0.45">
      <c r="A2087" s="180" t="s">
        <v>54</v>
      </c>
      <c r="B2087" s="73">
        <v>2</v>
      </c>
      <c r="C2087" s="73">
        <v>2</v>
      </c>
      <c r="D2087" s="180" t="s">
        <v>600</v>
      </c>
      <c r="E2087" s="39">
        <v>43598</v>
      </c>
      <c r="F2087" s="179">
        <v>0.45555555555555555</v>
      </c>
      <c r="G2087" s="180">
        <v>3</v>
      </c>
      <c r="H2087" s="180" t="s">
        <v>627</v>
      </c>
      <c r="I2087" s="180"/>
      <c r="J2087" s="180"/>
      <c r="K2087" s="180"/>
      <c r="L2087" s="180"/>
      <c r="M2087" s="180"/>
      <c r="N2087" s="180"/>
      <c r="O2087" s="180"/>
      <c r="P2087" s="180"/>
    </row>
    <row r="2088" spans="1:16" x14ac:dyDescent="0.45">
      <c r="A2088" s="180" t="s">
        <v>54</v>
      </c>
      <c r="B2088" s="73">
        <v>2</v>
      </c>
      <c r="C2088" s="73"/>
      <c r="D2088" s="180" t="s">
        <v>600</v>
      </c>
      <c r="E2088" s="39">
        <v>43598</v>
      </c>
      <c r="F2088" s="179">
        <v>0.60416666666666663</v>
      </c>
      <c r="G2088" s="180">
        <v>6</v>
      </c>
      <c r="H2088" s="180" t="s">
        <v>617</v>
      </c>
      <c r="I2088" s="180"/>
      <c r="J2088" s="180"/>
      <c r="K2088" s="180"/>
      <c r="L2088" s="180"/>
      <c r="M2088" s="180"/>
      <c r="N2088" s="180"/>
      <c r="O2088" s="180"/>
      <c r="P2088" s="180"/>
    </row>
    <row r="2089" spans="1:16" x14ac:dyDescent="0.45">
      <c r="A2089" s="180" t="s">
        <v>54</v>
      </c>
      <c r="B2089" s="73">
        <v>2</v>
      </c>
      <c r="C2089" s="73"/>
      <c r="D2089" s="180" t="s">
        <v>600</v>
      </c>
      <c r="E2089" s="39">
        <v>43598</v>
      </c>
      <c r="F2089" s="179">
        <v>0.45555555555555555</v>
      </c>
      <c r="G2089" s="180">
        <v>3</v>
      </c>
      <c r="H2089" s="180" t="s">
        <v>627</v>
      </c>
      <c r="I2089" s="180"/>
      <c r="J2089" s="180"/>
      <c r="K2089" s="180"/>
      <c r="L2089" s="180"/>
      <c r="M2089" s="180"/>
      <c r="N2089" s="180"/>
      <c r="O2089" s="180"/>
      <c r="P2089" s="180"/>
    </row>
    <row r="2090" spans="1:16" x14ac:dyDescent="0.45">
      <c r="A2090" s="180" t="s">
        <v>54</v>
      </c>
      <c r="B2090" s="73">
        <v>1</v>
      </c>
      <c r="C2090" s="73">
        <v>1</v>
      </c>
      <c r="D2090" s="180" t="s">
        <v>618</v>
      </c>
      <c r="E2090" s="39">
        <v>43599</v>
      </c>
      <c r="F2090" s="179">
        <v>0.59375</v>
      </c>
      <c r="G2090" s="180">
        <v>2</v>
      </c>
      <c r="H2090" s="180"/>
      <c r="I2090" s="180"/>
      <c r="J2090" s="180"/>
      <c r="K2090" s="180"/>
      <c r="L2090" s="180"/>
      <c r="M2090" s="180"/>
      <c r="N2090" s="180"/>
      <c r="O2090" s="180"/>
      <c r="P2090" s="180"/>
    </row>
    <row r="2091" spans="1:16" x14ac:dyDescent="0.45">
      <c r="A2091" s="180" t="s">
        <v>54</v>
      </c>
      <c r="B2091" s="73">
        <v>15</v>
      </c>
      <c r="C2091" s="73">
        <v>15</v>
      </c>
      <c r="D2091" s="180" t="s">
        <v>618</v>
      </c>
      <c r="E2091" s="39">
        <v>43601</v>
      </c>
      <c r="F2091" s="179">
        <v>0.5131944444444444</v>
      </c>
      <c r="G2091" s="180">
        <v>1</v>
      </c>
      <c r="H2091" s="180"/>
      <c r="I2091" s="180"/>
      <c r="J2091" s="180"/>
      <c r="K2091" s="180"/>
      <c r="L2091" s="180"/>
      <c r="M2091" s="180"/>
      <c r="N2091" s="180"/>
      <c r="O2091" s="180"/>
      <c r="P2091" s="180"/>
    </row>
    <row r="2092" spans="1:16" x14ac:dyDescent="0.45">
      <c r="A2092" s="1" t="s">
        <v>273</v>
      </c>
      <c r="B2092" s="73"/>
      <c r="C2092" s="73">
        <f>SUM(C2056:C2091)</f>
        <v>34</v>
      </c>
      <c r="D2092" s="180"/>
      <c r="E2092" s="39"/>
      <c r="F2092" s="179"/>
      <c r="G2092" s="180"/>
      <c r="H2092" s="180"/>
      <c r="I2092" s="180"/>
      <c r="J2092" s="180"/>
      <c r="K2092" s="180"/>
      <c r="L2092" s="180"/>
      <c r="M2092" s="180"/>
      <c r="N2092" s="180"/>
      <c r="O2092" s="180"/>
      <c r="P2092" s="180"/>
    </row>
    <row r="2093" spans="1:16" x14ac:dyDescent="0.45">
      <c r="A2093" s="180"/>
      <c r="B2093" s="73"/>
      <c r="C2093" s="73"/>
      <c r="D2093" s="180"/>
      <c r="E2093" s="39"/>
      <c r="F2093" s="179"/>
      <c r="G2093" s="180"/>
      <c r="H2093" s="180"/>
      <c r="I2093" s="180"/>
      <c r="J2093" s="180"/>
      <c r="K2093" s="180"/>
      <c r="L2093" s="180"/>
      <c r="M2093" s="180"/>
      <c r="N2093" s="180"/>
      <c r="O2093" s="180"/>
      <c r="P2093" s="180"/>
    </row>
    <row r="2094" spans="1:16" x14ac:dyDescent="0.45">
      <c r="A2094" s="180" t="s">
        <v>42</v>
      </c>
      <c r="B2094" s="73">
        <v>1</v>
      </c>
      <c r="C2094" s="73">
        <v>1</v>
      </c>
      <c r="D2094" s="180" t="s">
        <v>600</v>
      </c>
      <c r="E2094" s="39">
        <v>43569</v>
      </c>
      <c r="F2094" s="179">
        <v>0.4548611111111111</v>
      </c>
      <c r="G2094" s="180">
        <v>11</v>
      </c>
      <c r="H2094" s="180" t="s">
        <v>646</v>
      </c>
      <c r="I2094" s="180"/>
      <c r="J2094" s="180"/>
      <c r="K2094" s="180"/>
      <c r="L2094" s="180"/>
      <c r="M2094" s="180"/>
      <c r="N2094" s="180"/>
      <c r="O2094" s="180"/>
      <c r="P2094" s="180"/>
    </row>
    <row r="2095" spans="1:16" x14ac:dyDescent="0.45">
      <c r="A2095" s="180" t="s">
        <v>42</v>
      </c>
      <c r="B2095" s="73">
        <v>4</v>
      </c>
      <c r="C2095" s="73">
        <v>4</v>
      </c>
      <c r="D2095" s="180" t="s">
        <v>600</v>
      </c>
      <c r="E2095" s="39">
        <v>43595</v>
      </c>
      <c r="F2095" s="179">
        <v>0.51111111111111118</v>
      </c>
      <c r="G2095" s="180">
        <v>1</v>
      </c>
      <c r="H2095" s="180"/>
      <c r="I2095" s="180"/>
      <c r="J2095" s="180"/>
      <c r="K2095" s="180"/>
      <c r="L2095" s="180"/>
      <c r="M2095" s="180"/>
      <c r="N2095" s="180"/>
      <c r="O2095" s="180"/>
      <c r="P2095" s="180"/>
    </row>
    <row r="2096" spans="1:16" x14ac:dyDescent="0.45">
      <c r="A2096" s="180" t="s">
        <v>42</v>
      </c>
      <c r="B2096" s="73">
        <v>1</v>
      </c>
      <c r="C2096" s="73"/>
      <c r="D2096" s="180" t="s">
        <v>600</v>
      </c>
      <c r="E2096" s="39">
        <v>43595</v>
      </c>
      <c r="F2096" s="179">
        <v>0.66180555555555554</v>
      </c>
      <c r="G2096" s="180">
        <v>3</v>
      </c>
      <c r="H2096" s="180"/>
      <c r="I2096" s="180"/>
      <c r="J2096" s="180"/>
      <c r="K2096" s="180"/>
      <c r="L2096" s="180"/>
      <c r="M2096" s="180"/>
      <c r="N2096" s="180"/>
      <c r="O2096" s="180"/>
      <c r="P2096" s="180"/>
    </row>
    <row r="2097" spans="1:16" x14ac:dyDescent="0.45">
      <c r="A2097" s="180" t="s">
        <v>42</v>
      </c>
      <c r="B2097" s="73">
        <v>1</v>
      </c>
      <c r="C2097" s="73"/>
      <c r="D2097" s="180" t="s">
        <v>600</v>
      </c>
      <c r="E2097" s="39">
        <v>43595</v>
      </c>
      <c r="F2097" s="179">
        <v>0.61249999999999993</v>
      </c>
      <c r="G2097" s="180">
        <v>2</v>
      </c>
      <c r="H2097" s="180" t="s">
        <v>612</v>
      </c>
      <c r="I2097" s="180"/>
      <c r="J2097" s="180"/>
      <c r="K2097" s="180"/>
      <c r="L2097" s="180"/>
      <c r="M2097" s="180"/>
      <c r="N2097" s="180"/>
      <c r="O2097" s="180"/>
      <c r="P2097" s="180"/>
    </row>
    <row r="2098" spans="1:16" x14ac:dyDescent="0.45">
      <c r="A2098" s="180" t="s">
        <v>42</v>
      </c>
      <c r="B2098" s="73">
        <v>1</v>
      </c>
      <c r="C2098" s="73"/>
      <c r="D2098" s="180" t="s">
        <v>600</v>
      </c>
      <c r="E2098" s="39">
        <v>43595</v>
      </c>
      <c r="F2098" s="179">
        <v>0.64583333333333337</v>
      </c>
      <c r="G2098" s="180">
        <v>4</v>
      </c>
      <c r="H2098" s="180" t="s">
        <v>623</v>
      </c>
      <c r="I2098" s="180"/>
      <c r="J2098" s="180"/>
      <c r="K2098" s="180"/>
      <c r="L2098" s="180"/>
      <c r="M2098" s="180"/>
      <c r="N2098" s="180"/>
      <c r="O2098" s="180"/>
      <c r="P2098" s="180"/>
    </row>
    <row r="2099" spans="1:16" x14ac:dyDescent="0.45">
      <c r="A2099" s="180" t="s">
        <v>42</v>
      </c>
      <c r="B2099" s="73">
        <v>1</v>
      </c>
      <c r="C2099" s="73"/>
      <c r="D2099" s="180" t="s">
        <v>600</v>
      </c>
      <c r="E2099" s="39">
        <v>43595</v>
      </c>
      <c r="F2099" s="179">
        <v>0.60416666666666663</v>
      </c>
      <c r="G2099" s="180">
        <v>2</v>
      </c>
      <c r="H2099" s="180"/>
      <c r="I2099" s="180"/>
      <c r="J2099" s="180"/>
      <c r="K2099" s="180"/>
      <c r="L2099" s="180"/>
      <c r="M2099" s="180"/>
      <c r="N2099" s="180"/>
      <c r="O2099" s="180"/>
      <c r="P2099" s="180"/>
    </row>
    <row r="2100" spans="1:16" x14ac:dyDescent="0.45">
      <c r="A2100" s="180" t="s">
        <v>42</v>
      </c>
      <c r="B2100" s="73">
        <v>1</v>
      </c>
      <c r="C2100" s="73"/>
      <c r="D2100" s="180" t="s">
        <v>600</v>
      </c>
      <c r="E2100" s="39">
        <v>43595</v>
      </c>
      <c r="F2100" s="179">
        <v>0.61249999999999993</v>
      </c>
      <c r="G2100" s="180">
        <v>2</v>
      </c>
      <c r="H2100" s="180" t="s">
        <v>612</v>
      </c>
      <c r="I2100" s="180"/>
      <c r="J2100" s="180"/>
      <c r="K2100" s="180"/>
      <c r="L2100" s="180"/>
      <c r="M2100" s="180"/>
      <c r="N2100" s="180"/>
      <c r="O2100" s="180"/>
      <c r="P2100" s="180"/>
    </row>
    <row r="2101" spans="1:16" x14ac:dyDescent="0.45">
      <c r="A2101" s="180" t="s">
        <v>42</v>
      </c>
      <c r="B2101" s="73">
        <v>1</v>
      </c>
      <c r="C2101" s="73"/>
      <c r="D2101" s="180" t="s">
        <v>602</v>
      </c>
      <c r="E2101" s="39">
        <v>43595</v>
      </c>
      <c r="F2101" s="179">
        <v>0.64861111111111114</v>
      </c>
      <c r="G2101" s="180">
        <v>3</v>
      </c>
      <c r="H2101" s="180"/>
      <c r="I2101" s="180"/>
      <c r="J2101" s="180"/>
      <c r="K2101" s="180"/>
      <c r="L2101" s="180"/>
      <c r="M2101" s="180"/>
      <c r="N2101" s="180"/>
      <c r="O2101" s="180"/>
      <c r="P2101" s="180"/>
    </row>
    <row r="2102" spans="1:16" x14ac:dyDescent="0.45">
      <c r="A2102" s="180" t="s">
        <v>42</v>
      </c>
      <c r="B2102" s="73">
        <v>1</v>
      </c>
      <c r="C2102" s="73">
        <v>1</v>
      </c>
      <c r="D2102" s="180" t="s">
        <v>600</v>
      </c>
      <c r="E2102" s="39">
        <v>43596</v>
      </c>
      <c r="F2102" s="179">
        <v>0.28125</v>
      </c>
      <c r="G2102" s="180">
        <v>2</v>
      </c>
      <c r="H2102" s="180" t="s">
        <v>613</v>
      </c>
      <c r="I2102" s="180"/>
      <c r="J2102" s="180"/>
      <c r="K2102" s="180"/>
      <c r="L2102" s="180"/>
      <c r="M2102" s="180"/>
      <c r="N2102" s="180"/>
      <c r="O2102" s="180"/>
      <c r="P2102" s="180"/>
    </row>
    <row r="2103" spans="1:16" x14ac:dyDescent="0.45">
      <c r="A2103" s="180" t="s">
        <v>42</v>
      </c>
      <c r="B2103" s="73">
        <v>1</v>
      </c>
      <c r="C2103" s="73">
        <v>1</v>
      </c>
      <c r="D2103" s="180" t="s">
        <v>618</v>
      </c>
      <c r="E2103" s="39">
        <v>43599</v>
      </c>
      <c r="F2103" s="179">
        <v>0.59375</v>
      </c>
      <c r="G2103" s="180">
        <v>2</v>
      </c>
      <c r="H2103" s="180"/>
      <c r="I2103" s="180"/>
      <c r="J2103" s="180"/>
      <c r="K2103" s="180"/>
      <c r="L2103" s="180"/>
      <c r="M2103" s="180"/>
      <c r="N2103" s="180"/>
      <c r="O2103" s="180"/>
      <c r="P2103" s="180"/>
    </row>
    <row r="2104" spans="1:16" x14ac:dyDescent="0.45">
      <c r="A2104" s="180" t="s">
        <v>42</v>
      </c>
      <c r="B2104" s="73">
        <v>1</v>
      </c>
      <c r="C2104" s="73"/>
      <c r="D2104" s="180" t="s">
        <v>600</v>
      </c>
      <c r="E2104" s="39">
        <v>43599</v>
      </c>
      <c r="F2104" s="179">
        <v>0.6166666666666667</v>
      </c>
      <c r="G2104" s="180">
        <v>2</v>
      </c>
      <c r="H2104" s="180"/>
      <c r="I2104" s="180"/>
      <c r="J2104" s="180"/>
      <c r="K2104" s="180"/>
      <c r="L2104" s="180"/>
      <c r="M2104" s="180"/>
      <c r="N2104" s="180"/>
      <c r="O2104" s="180"/>
      <c r="P2104" s="180"/>
    </row>
    <row r="2105" spans="1:16" x14ac:dyDescent="0.45">
      <c r="A2105" s="180" t="s">
        <v>42</v>
      </c>
      <c r="B2105" s="73">
        <v>1</v>
      </c>
      <c r="C2105" s="73"/>
      <c r="D2105" s="180" t="s">
        <v>600</v>
      </c>
      <c r="E2105" s="39">
        <v>43599</v>
      </c>
      <c r="F2105" s="179">
        <v>0.4201388888888889</v>
      </c>
      <c r="G2105" s="180">
        <v>1</v>
      </c>
      <c r="H2105" s="180"/>
      <c r="I2105" s="180"/>
      <c r="J2105" s="180"/>
      <c r="K2105" s="180"/>
      <c r="L2105" s="180"/>
      <c r="M2105" s="180"/>
      <c r="N2105" s="180"/>
      <c r="O2105" s="180"/>
      <c r="P2105" s="180"/>
    </row>
    <row r="2106" spans="1:16" x14ac:dyDescent="0.45">
      <c r="A2106" s="180" t="s">
        <v>42</v>
      </c>
      <c r="B2106" s="73">
        <v>1</v>
      </c>
      <c r="C2106" s="73">
        <v>1</v>
      </c>
      <c r="D2106" s="180" t="s">
        <v>600</v>
      </c>
      <c r="E2106" s="39">
        <v>43600</v>
      </c>
      <c r="F2106" s="179">
        <v>0.68055555555555547</v>
      </c>
      <c r="G2106" s="180">
        <v>2</v>
      </c>
      <c r="H2106" s="180" t="s">
        <v>405</v>
      </c>
      <c r="I2106" s="180"/>
      <c r="J2106" s="180"/>
      <c r="K2106" s="180"/>
      <c r="L2106" s="180"/>
      <c r="M2106" s="180"/>
      <c r="N2106" s="180"/>
      <c r="O2106" s="180"/>
      <c r="P2106" s="180"/>
    </row>
    <row r="2107" spans="1:16" x14ac:dyDescent="0.45">
      <c r="A2107" s="180" t="s">
        <v>42</v>
      </c>
      <c r="B2107" s="73">
        <v>1</v>
      </c>
      <c r="C2107" s="73">
        <v>1</v>
      </c>
      <c r="D2107" s="180" t="s">
        <v>600</v>
      </c>
      <c r="E2107" s="39">
        <v>43603</v>
      </c>
      <c r="F2107" s="179">
        <v>0.70277777777777783</v>
      </c>
      <c r="G2107" s="180">
        <v>5</v>
      </c>
      <c r="H2107" s="180" t="s">
        <v>628</v>
      </c>
      <c r="I2107" s="180"/>
      <c r="J2107" s="180"/>
      <c r="K2107" s="180"/>
      <c r="L2107" s="180"/>
      <c r="M2107" s="180"/>
      <c r="N2107" s="180"/>
      <c r="O2107" s="180"/>
      <c r="P2107" s="180"/>
    </row>
    <row r="2108" spans="1:16" x14ac:dyDescent="0.45">
      <c r="A2108" s="180" t="s">
        <v>42</v>
      </c>
      <c r="B2108" s="73">
        <v>1</v>
      </c>
      <c r="C2108" s="73"/>
      <c r="D2108" s="180" t="s">
        <v>600</v>
      </c>
      <c r="E2108" s="39">
        <v>43603</v>
      </c>
      <c r="F2108" s="179">
        <v>0.70277777777777783</v>
      </c>
      <c r="G2108" s="180">
        <v>5</v>
      </c>
      <c r="H2108" s="180" t="s">
        <v>628</v>
      </c>
      <c r="I2108" s="180"/>
      <c r="J2108" s="180"/>
      <c r="K2108" s="180"/>
      <c r="L2108" s="180"/>
      <c r="M2108" s="180"/>
      <c r="N2108" s="180"/>
      <c r="O2108" s="180"/>
      <c r="P2108" s="180"/>
    </row>
    <row r="2109" spans="1:16" x14ac:dyDescent="0.45">
      <c r="A2109" s="180" t="s">
        <v>42</v>
      </c>
      <c r="B2109" s="73">
        <v>2</v>
      </c>
      <c r="C2109" s="73">
        <v>2</v>
      </c>
      <c r="D2109" s="180" t="s">
        <v>600</v>
      </c>
      <c r="E2109" s="39">
        <v>43605</v>
      </c>
      <c r="F2109" s="179">
        <v>0.67708333333333337</v>
      </c>
      <c r="G2109" s="180">
        <v>1</v>
      </c>
      <c r="H2109" s="180"/>
      <c r="I2109" s="180"/>
      <c r="J2109" s="180"/>
      <c r="K2109" s="180"/>
      <c r="L2109" s="180"/>
      <c r="M2109" s="180"/>
      <c r="N2109" s="180"/>
      <c r="O2109" s="180"/>
      <c r="P2109" s="180"/>
    </row>
    <row r="2110" spans="1:16" x14ac:dyDescent="0.45">
      <c r="A2110" s="1" t="s">
        <v>273</v>
      </c>
      <c r="B2110" s="73"/>
      <c r="C2110" s="73">
        <f>SUM(C2094:C2109)</f>
        <v>11</v>
      </c>
      <c r="D2110" s="180"/>
      <c r="E2110" s="39"/>
      <c r="F2110" s="179"/>
      <c r="G2110" s="180"/>
      <c r="H2110" s="180"/>
      <c r="I2110" s="180"/>
      <c r="J2110" s="180"/>
      <c r="K2110" s="180"/>
      <c r="L2110" s="180"/>
      <c r="M2110" s="180"/>
      <c r="N2110" s="180"/>
      <c r="O2110" s="180"/>
      <c r="P2110" s="180"/>
    </row>
    <row r="2111" spans="1:16" x14ac:dyDescent="0.45">
      <c r="A2111" s="180"/>
      <c r="B2111" s="73"/>
      <c r="C2111" s="73"/>
      <c r="D2111" s="180"/>
      <c r="E2111" s="39"/>
      <c r="F2111" s="179"/>
      <c r="G2111" s="180"/>
      <c r="H2111" s="180"/>
      <c r="I2111" s="180"/>
      <c r="J2111" s="180"/>
      <c r="K2111" s="180"/>
      <c r="L2111" s="180"/>
      <c r="M2111" s="180"/>
      <c r="N2111" s="180"/>
      <c r="O2111" s="180"/>
      <c r="P2111" s="180"/>
    </row>
    <row r="2112" spans="1:16" x14ac:dyDescent="0.45">
      <c r="A2112" s="180" t="s">
        <v>84</v>
      </c>
      <c r="B2112" s="73">
        <v>1</v>
      </c>
      <c r="C2112" s="73">
        <v>1</v>
      </c>
      <c r="D2112" s="180" t="s">
        <v>600</v>
      </c>
      <c r="E2112" s="39">
        <v>43569</v>
      </c>
      <c r="F2112" s="179">
        <v>0.45833333333333331</v>
      </c>
      <c r="G2112" s="180">
        <v>10</v>
      </c>
      <c r="H2112" s="180"/>
      <c r="I2112" s="180" t="s">
        <v>647</v>
      </c>
      <c r="J2112" s="180"/>
      <c r="K2112" s="180"/>
      <c r="L2112" s="180"/>
      <c r="M2112" s="180"/>
      <c r="N2112" s="180"/>
      <c r="O2112" s="180"/>
      <c r="P2112" s="180"/>
    </row>
    <row r="2113" spans="1:16" x14ac:dyDescent="0.45">
      <c r="A2113" s="180" t="s">
        <v>84</v>
      </c>
      <c r="B2113" s="73">
        <v>1</v>
      </c>
      <c r="C2113" s="73"/>
      <c r="D2113" s="180" t="s">
        <v>600</v>
      </c>
      <c r="E2113" s="39">
        <v>43569</v>
      </c>
      <c r="F2113" s="179">
        <v>0.4548611111111111</v>
      </c>
      <c r="G2113" s="180">
        <v>11</v>
      </c>
      <c r="H2113" s="180" t="s">
        <v>646</v>
      </c>
      <c r="I2113" s="180" t="s">
        <v>648</v>
      </c>
      <c r="J2113" s="180"/>
      <c r="K2113" s="180"/>
      <c r="L2113" s="180"/>
      <c r="M2113" s="180"/>
      <c r="N2113" s="180"/>
      <c r="O2113" s="180"/>
      <c r="P2113" s="180"/>
    </row>
    <row r="2114" spans="1:16" x14ac:dyDescent="0.45">
      <c r="A2114" s="180" t="s">
        <v>84</v>
      </c>
      <c r="B2114" s="73">
        <v>9</v>
      </c>
      <c r="C2114" s="73">
        <v>9</v>
      </c>
      <c r="D2114" s="180" t="s">
        <v>600</v>
      </c>
      <c r="E2114" s="39">
        <v>43573</v>
      </c>
      <c r="F2114" s="179">
        <v>0.68541666666666667</v>
      </c>
      <c r="G2114" s="180">
        <v>3</v>
      </c>
      <c r="H2114" s="180"/>
      <c r="I2114" s="180"/>
      <c r="J2114" s="180"/>
      <c r="K2114" s="180"/>
      <c r="L2114" s="180"/>
      <c r="M2114" s="180"/>
      <c r="N2114" s="180"/>
      <c r="O2114" s="180"/>
      <c r="P2114" s="180"/>
    </row>
    <row r="2115" spans="1:16" x14ac:dyDescent="0.45">
      <c r="A2115" s="180" t="s">
        <v>84</v>
      </c>
      <c r="B2115" s="73">
        <v>9</v>
      </c>
      <c r="C2115" s="73"/>
      <c r="D2115" s="180" t="s">
        <v>602</v>
      </c>
      <c r="E2115" s="39">
        <v>43573</v>
      </c>
      <c r="F2115" s="179">
        <v>0.69791666666666663</v>
      </c>
      <c r="G2115" s="180">
        <v>3</v>
      </c>
      <c r="H2115" s="180" t="s">
        <v>343</v>
      </c>
      <c r="I2115" s="180"/>
      <c r="J2115" s="180"/>
      <c r="K2115" s="180"/>
      <c r="L2115" s="180"/>
      <c r="M2115" s="180"/>
      <c r="N2115" s="180"/>
      <c r="O2115" s="180"/>
      <c r="P2115" s="180"/>
    </row>
    <row r="2116" spans="1:16" x14ac:dyDescent="0.45">
      <c r="A2116" s="180" t="s">
        <v>84</v>
      </c>
      <c r="B2116" s="73">
        <v>4</v>
      </c>
      <c r="C2116" s="73">
        <v>4</v>
      </c>
      <c r="D2116" s="180" t="s">
        <v>600</v>
      </c>
      <c r="E2116" s="39">
        <v>43578</v>
      </c>
      <c r="F2116" s="179">
        <v>0.79861111111111116</v>
      </c>
      <c r="G2116" s="180">
        <v>7</v>
      </c>
      <c r="H2116" s="180"/>
      <c r="I2116" s="180"/>
      <c r="J2116" s="180"/>
      <c r="K2116" s="180"/>
      <c r="L2116" s="180"/>
      <c r="M2116" s="180"/>
      <c r="N2116" s="180"/>
      <c r="O2116" s="180"/>
      <c r="P2116" s="180"/>
    </row>
    <row r="2117" spans="1:16" x14ac:dyDescent="0.45">
      <c r="A2117" s="180" t="s">
        <v>84</v>
      </c>
      <c r="B2117" s="73">
        <v>4</v>
      </c>
      <c r="C2117" s="73"/>
      <c r="D2117" s="180" t="s">
        <v>602</v>
      </c>
      <c r="E2117" s="39">
        <v>43578</v>
      </c>
      <c r="F2117" s="179">
        <v>0.8125</v>
      </c>
      <c r="G2117" s="180">
        <v>6</v>
      </c>
      <c r="H2117" s="180" t="s">
        <v>637</v>
      </c>
      <c r="I2117" s="180"/>
      <c r="J2117" s="180"/>
      <c r="K2117" s="180"/>
      <c r="L2117" s="180"/>
      <c r="M2117" s="180"/>
      <c r="N2117" s="180"/>
      <c r="O2117" s="180"/>
      <c r="P2117" s="180"/>
    </row>
    <row r="2118" spans="1:16" x14ac:dyDescent="0.45">
      <c r="A2118" s="180" t="s">
        <v>84</v>
      </c>
      <c r="B2118" s="73">
        <v>3</v>
      </c>
      <c r="C2118" s="73">
        <v>3</v>
      </c>
      <c r="D2118" s="180" t="s">
        <v>600</v>
      </c>
      <c r="E2118" s="39">
        <v>43583</v>
      </c>
      <c r="F2118" s="179">
        <v>0.42638888888888887</v>
      </c>
      <c r="G2118" s="180">
        <v>5</v>
      </c>
      <c r="H2118" s="180"/>
      <c r="I2118" s="180"/>
      <c r="J2118" s="180"/>
      <c r="K2118" s="180"/>
      <c r="L2118" s="180"/>
      <c r="M2118" s="180"/>
      <c r="N2118" s="180"/>
      <c r="O2118" s="180"/>
      <c r="P2118" s="180"/>
    </row>
    <row r="2119" spans="1:16" x14ac:dyDescent="0.45">
      <c r="A2119" s="180" t="s">
        <v>84</v>
      </c>
      <c r="B2119" s="73">
        <v>3</v>
      </c>
      <c r="C2119" s="73"/>
      <c r="D2119" s="180" t="s">
        <v>602</v>
      </c>
      <c r="E2119" s="39">
        <v>43583</v>
      </c>
      <c r="F2119" s="179">
        <v>0.4375</v>
      </c>
      <c r="G2119" s="180">
        <v>6</v>
      </c>
      <c r="H2119" s="180" t="s">
        <v>619</v>
      </c>
      <c r="I2119" s="180"/>
      <c r="J2119" s="180"/>
      <c r="K2119" s="180"/>
      <c r="L2119" s="180"/>
      <c r="M2119" s="180"/>
      <c r="N2119" s="180"/>
      <c r="O2119" s="180"/>
      <c r="P2119" s="180"/>
    </row>
    <row r="2120" spans="1:16" x14ac:dyDescent="0.45">
      <c r="A2120" s="180" t="s">
        <v>84</v>
      </c>
      <c r="B2120" s="73">
        <v>2</v>
      </c>
      <c r="C2120" s="73">
        <v>2</v>
      </c>
      <c r="D2120" s="180" t="s">
        <v>600</v>
      </c>
      <c r="E2120" s="39">
        <v>43593</v>
      </c>
      <c r="F2120" s="179">
        <v>0.79652777777777783</v>
      </c>
      <c r="G2120" s="180">
        <v>1</v>
      </c>
      <c r="H2120" s="180"/>
      <c r="I2120" s="180"/>
      <c r="J2120" s="180"/>
      <c r="K2120" s="180"/>
      <c r="L2120" s="180"/>
      <c r="M2120" s="180"/>
      <c r="N2120" s="180"/>
      <c r="O2120" s="180"/>
      <c r="P2120" s="180"/>
    </row>
    <row r="2121" spans="1:16" x14ac:dyDescent="0.45">
      <c r="A2121" s="180" t="s">
        <v>84</v>
      </c>
      <c r="B2121" s="73">
        <v>2</v>
      </c>
      <c r="C2121" s="73"/>
      <c r="D2121" s="180" t="s">
        <v>602</v>
      </c>
      <c r="E2121" s="39">
        <v>43593</v>
      </c>
      <c r="F2121" s="179">
        <v>0.80208333333333337</v>
      </c>
      <c r="G2121" s="180">
        <v>9</v>
      </c>
      <c r="H2121" s="180" t="s">
        <v>622</v>
      </c>
      <c r="I2121" s="180"/>
      <c r="J2121" s="180"/>
      <c r="K2121" s="180"/>
      <c r="L2121" s="180"/>
      <c r="M2121" s="180"/>
      <c r="N2121" s="180"/>
      <c r="O2121" s="180"/>
      <c r="P2121" s="180"/>
    </row>
    <row r="2122" spans="1:16" x14ac:dyDescent="0.45">
      <c r="A2122" s="180" t="s">
        <v>84</v>
      </c>
      <c r="B2122" s="73">
        <v>3</v>
      </c>
      <c r="C2122" s="73">
        <v>3</v>
      </c>
      <c r="D2122" s="180" t="s">
        <v>600</v>
      </c>
      <c r="E2122" s="39">
        <v>43594</v>
      </c>
      <c r="F2122" s="179">
        <v>0.37222222222222223</v>
      </c>
      <c r="G2122" s="180">
        <v>24</v>
      </c>
      <c r="H2122" s="180"/>
      <c r="I2122" s="180"/>
      <c r="J2122" s="180"/>
      <c r="K2122" s="180"/>
      <c r="L2122" s="180"/>
      <c r="M2122" s="180"/>
      <c r="N2122" s="180"/>
      <c r="O2122" s="180"/>
      <c r="P2122" s="180"/>
    </row>
    <row r="2123" spans="1:16" x14ac:dyDescent="0.45">
      <c r="A2123" s="180" t="s">
        <v>84</v>
      </c>
      <c r="B2123" s="73">
        <v>3</v>
      </c>
      <c r="C2123" s="73"/>
      <c r="D2123" s="180" t="s">
        <v>600</v>
      </c>
      <c r="E2123" s="39">
        <v>43594</v>
      </c>
      <c r="F2123" s="179">
        <v>0.37222222222222223</v>
      </c>
      <c r="G2123" s="180">
        <v>24</v>
      </c>
      <c r="H2123" s="180"/>
      <c r="I2123" s="180"/>
      <c r="J2123" s="180"/>
      <c r="K2123" s="180"/>
      <c r="L2123" s="180"/>
      <c r="M2123" s="180"/>
      <c r="N2123" s="180"/>
      <c r="O2123" s="180"/>
      <c r="P2123" s="180"/>
    </row>
    <row r="2124" spans="1:16" x14ac:dyDescent="0.45">
      <c r="A2124" s="180" t="s">
        <v>84</v>
      </c>
      <c r="B2124" s="73">
        <v>3</v>
      </c>
      <c r="C2124" s="73"/>
      <c r="D2124" s="180" t="s">
        <v>600</v>
      </c>
      <c r="E2124" s="39">
        <v>43594</v>
      </c>
      <c r="F2124" s="179">
        <v>0.37222222222222223</v>
      </c>
      <c r="G2124" s="180">
        <v>24</v>
      </c>
      <c r="H2124" s="180"/>
      <c r="I2124" s="180"/>
      <c r="J2124" s="180"/>
      <c r="K2124" s="180"/>
      <c r="L2124" s="180"/>
      <c r="M2124" s="180"/>
      <c r="N2124" s="180"/>
      <c r="O2124" s="180"/>
      <c r="P2124" s="180"/>
    </row>
    <row r="2125" spans="1:16" x14ac:dyDescent="0.45">
      <c r="A2125" s="180" t="s">
        <v>84</v>
      </c>
      <c r="B2125" s="73">
        <v>3</v>
      </c>
      <c r="C2125" s="73"/>
      <c r="D2125" s="180" t="s">
        <v>600</v>
      </c>
      <c r="E2125" s="39">
        <v>43594</v>
      </c>
      <c r="F2125" s="179">
        <v>0.37222222222222223</v>
      </c>
      <c r="G2125" s="180">
        <v>24</v>
      </c>
      <c r="H2125" s="180"/>
      <c r="I2125" s="180"/>
      <c r="J2125" s="180"/>
      <c r="K2125" s="180"/>
      <c r="L2125" s="180"/>
      <c r="M2125" s="180"/>
      <c r="N2125" s="180"/>
      <c r="O2125" s="180"/>
      <c r="P2125" s="180"/>
    </row>
    <row r="2126" spans="1:16" x14ac:dyDescent="0.45">
      <c r="A2126" s="180" t="s">
        <v>84</v>
      </c>
      <c r="B2126" s="73">
        <v>3</v>
      </c>
      <c r="C2126" s="73"/>
      <c r="D2126" s="180" t="s">
        <v>600</v>
      </c>
      <c r="E2126" s="39">
        <v>43594</v>
      </c>
      <c r="F2126" s="179">
        <v>0.37222222222222223</v>
      </c>
      <c r="G2126" s="180">
        <v>24</v>
      </c>
      <c r="H2126" s="180"/>
      <c r="I2126" s="180"/>
      <c r="J2126" s="180"/>
      <c r="K2126" s="180"/>
      <c r="L2126" s="180"/>
      <c r="M2126" s="180"/>
      <c r="N2126" s="180"/>
      <c r="O2126" s="180"/>
      <c r="P2126" s="180"/>
    </row>
    <row r="2127" spans="1:16" x14ac:dyDescent="0.45">
      <c r="A2127" s="180" t="s">
        <v>84</v>
      </c>
      <c r="B2127" s="73">
        <v>3</v>
      </c>
      <c r="C2127" s="73"/>
      <c r="D2127" s="180" t="s">
        <v>600</v>
      </c>
      <c r="E2127" s="39">
        <v>43594</v>
      </c>
      <c r="F2127" s="179">
        <v>0.37222222222222223</v>
      </c>
      <c r="G2127" s="180">
        <v>24</v>
      </c>
      <c r="H2127" s="180"/>
      <c r="I2127" s="180"/>
      <c r="J2127" s="180"/>
      <c r="K2127" s="180"/>
      <c r="L2127" s="180"/>
      <c r="M2127" s="180"/>
      <c r="N2127" s="180"/>
      <c r="O2127" s="180"/>
      <c r="P2127" s="180"/>
    </row>
    <row r="2128" spans="1:16" x14ac:dyDescent="0.45">
      <c r="A2128" s="180" t="s">
        <v>84</v>
      </c>
      <c r="B2128" s="73">
        <v>2</v>
      </c>
      <c r="C2128" s="73"/>
      <c r="D2128" s="180" t="s">
        <v>602</v>
      </c>
      <c r="E2128" s="39">
        <v>43594</v>
      </c>
      <c r="F2128" s="179">
        <v>0.5</v>
      </c>
      <c r="G2128" s="180">
        <v>1</v>
      </c>
      <c r="H2128" s="180"/>
      <c r="I2128" s="180"/>
      <c r="J2128" s="180"/>
      <c r="K2128" s="180"/>
      <c r="L2128" s="180"/>
      <c r="M2128" s="180"/>
      <c r="N2128" s="180"/>
      <c r="O2128" s="180"/>
      <c r="P2128" s="180"/>
    </row>
    <row r="2129" spans="1:16" x14ac:dyDescent="0.45">
      <c r="A2129" s="180" t="s">
        <v>84</v>
      </c>
      <c r="B2129" s="73">
        <v>5</v>
      </c>
      <c r="C2129" s="73"/>
      <c r="D2129" s="180" t="s">
        <v>600</v>
      </c>
      <c r="E2129" s="39">
        <v>43595</v>
      </c>
      <c r="F2129" s="179">
        <v>0.56666666666666665</v>
      </c>
      <c r="G2129" s="180">
        <v>3</v>
      </c>
      <c r="H2129" s="180"/>
      <c r="I2129" s="180"/>
      <c r="J2129" s="180"/>
      <c r="K2129" s="180"/>
      <c r="L2129" s="180"/>
      <c r="M2129" s="180"/>
      <c r="N2129" s="180"/>
      <c r="O2129" s="180"/>
      <c r="P2129" s="180"/>
    </row>
    <row r="2130" spans="1:16" x14ac:dyDescent="0.45">
      <c r="A2130" s="180" t="s">
        <v>84</v>
      </c>
      <c r="B2130" s="73">
        <v>5</v>
      </c>
      <c r="C2130" s="73">
        <v>5</v>
      </c>
      <c r="D2130" s="180" t="s">
        <v>600</v>
      </c>
      <c r="E2130" s="39">
        <v>43595</v>
      </c>
      <c r="F2130" s="179">
        <v>0.56666666666666665</v>
      </c>
      <c r="G2130" s="180">
        <v>3</v>
      </c>
      <c r="H2130" s="180"/>
      <c r="I2130" s="180"/>
      <c r="J2130" s="180"/>
      <c r="K2130" s="180"/>
      <c r="L2130" s="180"/>
      <c r="M2130" s="180"/>
      <c r="N2130" s="180"/>
      <c r="O2130" s="180"/>
      <c r="P2130" s="180"/>
    </row>
    <row r="2131" spans="1:16" x14ac:dyDescent="0.45">
      <c r="A2131" s="180" t="s">
        <v>84</v>
      </c>
      <c r="B2131" s="73">
        <v>3</v>
      </c>
      <c r="C2131" s="73"/>
      <c r="D2131" s="180" t="s">
        <v>600</v>
      </c>
      <c r="E2131" s="39">
        <v>43595</v>
      </c>
      <c r="F2131" s="179">
        <v>0.61249999999999993</v>
      </c>
      <c r="G2131" s="180">
        <v>2</v>
      </c>
      <c r="H2131" s="180" t="s">
        <v>612</v>
      </c>
      <c r="I2131" s="180"/>
      <c r="J2131" s="180"/>
      <c r="K2131" s="180"/>
      <c r="L2131" s="180"/>
      <c r="M2131" s="180"/>
      <c r="N2131" s="180"/>
      <c r="O2131" s="180"/>
      <c r="P2131" s="180"/>
    </row>
    <row r="2132" spans="1:16" x14ac:dyDescent="0.45">
      <c r="A2132" s="180" t="s">
        <v>84</v>
      </c>
      <c r="B2132" s="73">
        <v>3</v>
      </c>
      <c r="C2132" s="73"/>
      <c r="D2132" s="180" t="s">
        <v>600</v>
      </c>
      <c r="E2132" s="39">
        <v>43595</v>
      </c>
      <c r="F2132" s="179">
        <v>0.61249999999999993</v>
      </c>
      <c r="G2132" s="180">
        <v>2</v>
      </c>
      <c r="H2132" s="180" t="s">
        <v>612</v>
      </c>
      <c r="I2132" s="180"/>
      <c r="J2132" s="180"/>
      <c r="K2132" s="180"/>
      <c r="L2132" s="180"/>
      <c r="M2132" s="180"/>
      <c r="N2132" s="180"/>
      <c r="O2132" s="180"/>
      <c r="P2132" s="180"/>
    </row>
    <row r="2133" spans="1:16" x14ac:dyDescent="0.45">
      <c r="A2133" s="180" t="s">
        <v>84</v>
      </c>
      <c r="B2133" s="73">
        <v>5</v>
      </c>
      <c r="C2133" s="73"/>
      <c r="D2133" s="180" t="s">
        <v>600</v>
      </c>
      <c r="E2133" s="39">
        <v>43595</v>
      </c>
      <c r="F2133" s="179">
        <v>0.56666666666666665</v>
      </c>
      <c r="G2133" s="180">
        <v>3</v>
      </c>
      <c r="H2133" s="180"/>
      <c r="I2133" s="180"/>
      <c r="J2133" s="180"/>
      <c r="K2133" s="180"/>
      <c r="L2133" s="180"/>
      <c r="M2133" s="180"/>
      <c r="N2133" s="180"/>
      <c r="O2133" s="180"/>
      <c r="P2133" s="180"/>
    </row>
    <row r="2134" spans="1:16" x14ac:dyDescent="0.45">
      <c r="A2134" s="180" t="s">
        <v>84</v>
      </c>
      <c r="B2134" s="73">
        <v>4</v>
      </c>
      <c r="C2134" s="73"/>
      <c r="D2134" s="180" t="s">
        <v>600</v>
      </c>
      <c r="E2134" s="39">
        <v>43595</v>
      </c>
      <c r="F2134" s="179">
        <v>0.51111111111111118</v>
      </c>
      <c r="G2134" s="180">
        <v>1</v>
      </c>
      <c r="H2134" s="180"/>
      <c r="I2134" s="180"/>
      <c r="J2134" s="180"/>
      <c r="K2134" s="180"/>
      <c r="L2134" s="180"/>
      <c r="M2134" s="180"/>
      <c r="N2134" s="180"/>
      <c r="O2134" s="180"/>
      <c r="P2134" s="180"/>
    </row>
    <row r="2135" spans="1:16" x14ac:dyDescent="0.45">
      <c r="A2135" s="180" t="s">
        <v>84</v>
      </c>
      <c r="B2135" s="73">
        <v>3</v>
      </c>
      <c r="C2135" s="73"/>
      <c r="D2135" s="180" t="s">
        <v>602</v>
      </c>
      <c r="E2135" s="39">
        <v>43595</v>
      </c>
      <c r="F2135" s="179">
        <v>0.43472222222222223</v>
      </c>
      <c r="G2135" s="180">
        <v>1</v>
      </c>
      <c r="H2135" s="180"/>
      <c r="I2135" s="180"/>
      <c r="J2135" s="180"/>
      <c r="K2135" s="180"/>
      <c r="L2135" s="180"/>
      <c r="M2135" s="180"/>
      <c r="N2135" s="180"/>
      <c r="O2135" s="180"/>
      <c r="P2135" s="180"/>
    </row>
    <row r="2136" spans="1:16" x14ac:dyDescent="0.45">
      <c r="A2136" s="180" t="s">
        <v>84</v>
      </c>
      <c r="B2136" s="73">
        <v>2</v>
      </c>
      <c r="C2136" s="73"/>
      <c r="D2136" s="180" t="s">
        <v>600</v>
      </c>
      <c r="E2136" s="39">
        <v>43596</v>
      </c>
      <c r="F2136" s="179">
        <v>0.38194444444444442</v>
      </c>
      <c r="G2136" s="180">
        <v>2</v>
      </c>
      <c r="H2136" s="180"/>
      <c r="I2136" s="180"/>
      <c r="J2136" s="180"/>
      <c r="K2136" s="180"/>
      <c r="L2136" s="180"/>
      <c r="M2136" s="180"/>
      <c r="N2136" s="180"/>
      <c r="O2136" s="180"/>
      <c r="P2136" s="180"/>
    </row>
    <row r="2137" spans="1:16" x14ac:dyDescent="0.45">
      <c r="A2137" s="180" t="s">
        <v>84</v>
      </c>
      <c r="B2137" s="73">
        <v>3</v>
      </c>
      <c r="C2137" s="73"/>
      <c r="D2137" s="180" t="s">
        <v>600</v>
      </c>
      <c r="E2137" s="39">
        <v>43596</v>
      </c>
      <c r="F2137" s="179">
        <v>0.38055555555555554</v>
      </c>
      <c r="G2137" s="180">
        <v>20</v>
      </c>
      <c r="H2137" s="180" t="s">
        <v>604</v>
      </c>
      <c r="I2137" s="180"/>
      <c r="J2137" s="180"/>
      <c r="K2137" s="180"/>
      <c r="L2137" s="180"/>
      <c r="M2137" s="180"/>
      <c r="N2137" s="180"/>
      <c r="O2137" s="180"/>
      <c r="P2137" s="180"/>
    </row>
    <row r="2138" spans="1:16" x14ac:dyDescent="0.45">
      <c r="A2138" s="180" t="s">
        <v>84</v>
      </c>
      <c r="B2138" s="73">
        <v>4</v>
      </c>
      <c r="C2138" s="73">
        <v>4</v>
      </c>
      <c r="D2138" s="180" t="s">
        <v>600</v>
      </c>
      <c r="E2138" s="39">
        <v>43596</v>
      </c>
      <c r="F2138" s="179">
        <v>0.4458333333333333</v>
      </c>
      <c r="G2138" s="180">
        <v>1</v>
      </c>
      <c r="H2138" s="180"/>
      <c r="I2138" s="180"/>
      <c r="J2138" s="180"/>
      <c r="K2138" s="180"/>
      <c r="L2138" s="180"/>
      <c r="M2138" s="180"/>
      <c r="N2138" s="180"/>
      <c r="O2138" s="180"/>
      <c r="P2138" s="180"/>
    </row>
    <row r="2139" spans="1:16" x14ac:dyDescent="0.45">
      <c r="A2139" s="180" t="s">
        <v>84</v>
      </c>
      <c r="B2139" s="73">
        <v>3</v>
      </c>
      <c r="C2139" s="73"/>
      <c r="D2139" s="180" t="s">
        <v>600</v>
      </c>
      <c r="E2139" s="39">
        <v>43596</v>
      </c>
      <c r="F2139" s="179">
        <v>0.44166666666666665</v>
      </c>
      <c r="G2139" s="180">
        <v>20</v>
      </c>
      <c r="H2139" s="180"/>
      <c r="I2139" s="180"/>
      <c r="J2139" s="180"/>
      <c r="K2139" s="180"/>
      <c r="L2139" s="180"/>
      <c r="M2139" s="180"/>
      <c r="N2139" s="180"/>
      <c r="O2139" s="180"/>
      <c r="P2139" s="180"/>
    </row>
    <row r="2140" spans="1:16" x14ac:dyDescent="0.45">
      <c r="A2140" s="180" t="s">
        <v>84</v>
      </c>
      <c r="B2140" s="73">
        <v>2</v>
      </c>
      <c r="C2140" s="73"/>
      <c r="D2140" s="180" t="s">
        <v>602</v>
      </c>
      <c r="E2140" s="39">
        <v>43596</v>
      </c>
      <c r="F2140" s="179">
        <v>0.33333333333333331</v>
      </c>
      <c r="G2140" s="180">
        <v>2</v>
      </c>
      <c r="H2140" s="180"/>
      <c r="I2140" s="180"/>
      <c r="J2140" s="180"/>
      <c r="K2140" s="180"/>
      <c r="L2140" s="180"/>
      <c r="M2140" s="180"/>
      <c r="N2140" s="180"/>
      <c r="O2140" s="180"/>
      <c r="P2140" s="180"/>
    </row>
    <row r="2141" spans="1:16" x14ac:dyDescent="0.45">
      <c r="A2141" s="180" t="s">
        <v>84</v>
      </c>
      <c r="B2141" s="73">
        <v>4</v>
      </c>
      <c r="C2141" s="73"/>
      <c r="D2141" s="180" t="s">
        <v>602</v>
      </c>
      <c r="E2141" s="39">
        <v>43596</v>
      </c>
      <c r="F2141" s="179">
        <v>0.33749999999999997</v>
      </c>
      <c r="G2141" s="180">
        <v>1</v>
      </c>
      <c r="H2141" s="180"/>
      <c r="I2141" s="180"/>
      <c r="J2141" s="180"/>
      <c r="K2141" s="180"/>
      <c r="L2141" s="180"/>
      <c r="M2141" s="180"/>
      <c r="N2141" s="180"/>
      <c r="O2141" s="180"/>
      <c r="P2141" s="180"/>
    </row>
    <row r="2142" spans="1:16" x14ac:dyDescent="0.45">
      <c r="A2142" s="180" t="s">
        <v>84</v>
      </c>
      <c r="B2142" s="73">
        <v>4</v>
      </c>
      <c r="C2142" s="73"/>
      <c r="D2142" s="180" t="s">
        <v>602</v>
      </c>
      <c r="E2142" s="39">
        <v>43596</v>
      </c>
      <c r="F2142" s="179">
        <v>0.33749999999999997</v>
      </c>
      <c r="G2142" s="180">
        <v>1</v>
      </c>
      <c r="H2142" s="180"/>
      <c r="I2142" s="180"/>
      <c r="J2142" s="180"/>
      <c r="K2142" s="180"/>
      <c r="L2142" s="180"/>
      <c r="M2142" s="180"/>
      <c r="N2142" s="180"/>
      <c r="O2142" s="180"/>
      <c r="P2142" s="180"/>
    </row>
    <row r="2143" spans="1:16" x14ac:dyDescent="0.45">
      <c r="A2143" s="180" t="s">
        <v>84</v>
      </c>
      <c r="B2143" s="73">
        <v>1</v>
      </c>
      <c r="C2143" s="73"/>
      <c r="D2143" s="180" t="s">
        <v>624</v>
      </c>
      <c r="E2143" s="39">
        <v>43596</v>
      </c>
      <c r="F2143" s="179">
        <v>0.50486111111111109</v>
      </c>
      <c r="G2143" s="180">
        <v>1</v>
      </c>
      <c r="H2143" s="180"/>
      <c r="I2143" s="180"/>
      <c r="J2143" s="180"/>
      <c r="K2143" s="180"/>
      <c r="L2143" s="180"/>
      <c r="M2143" s="180"/>
      <c r="N2143" s="180"/>
      <c r="O2143" s="180"/>
      <c r="P2143" s="180"/>
    </row>
    <row r="2144" spans="1:16" x14ac:dyDescent="0.45">
      <c r="A2144" s="180" t="s">
        <v>84</v>
      </c>
      <c r="B2144" s="73">
        <v>2</v>
      </c>
      <c r="C2144" s="73"/>
      <c r="D2144" s="180" t="s">
        <v>600</v>
      </c>
      <c r="E2144" s="39">
        <v>43597</v>
      </c>
      <c r="F2144" s="179">
        <v>0.45763888888888887</v>
      </c>
      <c r="G2144" s="180">
        <v>3</v>
      </c>
      <c r="H2144" s="180"/>
      <c r="I2144" s="180"/>
      <c r="J2144" s="180"/>
      <c r="K2144" s="180"/>
      <c r="L2144" s="180"/>
      <c r="M2144" s="180"/>
      <c r="N2144" s="180"/>
      <c r="O2144" s="180"/>
      <c r="P2144" s="180"/>
    </row>
    <row r="2145" spans="1:16" x14ac:dyDescent="0.45">
      <c r="A2145" s="180" t="s">
        <v>84</v>
      </c>
      <c r="B2145" s="73">
        <v>1</v>
      </c>
      <c r="C2145" s="73"/>
      <c r="D2145" s="180" t="s">
        <v>600</v>
      </c>
      <c r="E2145" s="39">
        <v>43597</v>
      </c>
      <c r="F2145" s="179">
        <v>0.4826388888888889</v>
      </c>
      <c r="G2145" s="180">
        <v>10</v>
      </c>
      <c r="H2145" s="180" t="s">
        <v>614</v>
      </c>
      <c r="I2145" s="180"/>
      <c r="J2145" s="180"/>
      <c r="K2145" s="180"/>
      <c r="L2145" s="180"/>
      <c r="M2145" s="180"/>
      <c r="N2145" s="180"/>
      <c r="O2145" s="180"/>
      <c r="P2145" s="180"/>
    </row>
    <row r="2146" spans="1:16" x14ac:dyDescent="0.45">
      <c r="A2146" s="180" t="s">
        <v>84</v>
      </c>
      <c r="B2146" s="73">
        <v>2</v>
      </c>
      <c r="C2146" s="73"/>
      <c r="D2146" s="180" t="s">
        <v>600</v>
      </c>
      <c r="E2146" s="39">
        <v>43597</v>
      </c>
      <c r="F2146" s="179">
        <v>0.28819444444444448</v>
      </c>
      <c r="G2146" s="180">
        <v>6</v>
      </c>
      <c r="H2146" s="180" t="s">
        <v>609</v>
      </c>
      <c r="I2146" s="180"/>
      <c r="J2146" s="180"/>
      <c r="K2146" s="180"/>
      <c r="L2146" s="180"/>
      <c r="M2146" s="180"/>
      <c r="N2146" s="180"/>
      <c r="O2146" s="180"/>
      <c r="P2146" s="180"/>
    </row>
    <row r="2147" spans="1:16" x14ac:dyDescent="0.45">
      <c r="A2147" s="180" t="s">
        <v>84</v>
      </c>
      <c r="B2147" s="73">
        <v>2</v>
      </c>
      <c r="C2147" s="73"/>
      <c r="D2147" s="180" t="s">
        <v>600</v>
      </c>
      <c r="E2147" s="39">
        <v>43597</v>
      </c>
      <c r="F2147" s="179">
        <v>0.4375</v>
      </c>
      <c r="G2147" s="180">
        <v>12</v>
      </c>
      <c r="H2147" s="180" t="s">
        <v>615</v>
      </c>
      <c r="I2147" s="180"/>
      <c r="J2147" s="180"/>
      <c r="K2147" s="180"/>
      <c r="L2147" s="180"/>
      <c r="M2147" s="180"/>
      <c r="N2147" s="180"/>
      <c r="O2147" s="180"/>
      <c r="P2147" s="180"/>
    </row>
    <row r="2148" spans="1:16" x14ac:dyDescent="0.45">
      <c r="A2148" s="180" t="s">
        <v>84</v>
      </c>
      <c r="B2148" s="73">
        <v>2</v>
      </c>
      <c r="C2148" s="73"/>
      <c r="D2148" s="180" t="s">
        <v>600</v>
      </c>
      <c r="E2148" s="39">
        <v>43597</v>
      </c>
      <c r="F2148" s="179">
        <v>0.45833333333333331</v>
      </c>
      <c r="G2148" s="180">
        <v>3</v>
      </c>
      <c r="H2148" s="180"/>
      <c r="I2148" s="180"/>
      <c r="J2148" s="180"/>
      <c r="K2148" s="180"/>
      <c r="L2148" s="180"/>
      <c r="M2148" s="180"/>
      <c r="N2148" s="180"/>
      <c r="O2148" s="180"/>
      <c r="P2148" s="180"/>
    </row>
    <row r="2149" spans="1:16" x14ac:dyDescent="0.45">
      <c r="A2149" s="180" t="s">
        <v>84</v>
      </c>
      <c r="B2149" s="73">
        <v>1</v>
      </c>
      <c r="C2149" s="73"/>
      <c r="D2149" s="180" t="s">
        <v>626</v>
      </c>
      <c r="E2149" s="39">
        <v>43597</v>
      </c>
      <c r="F2149" s="179">
        <v>0.4548611111111111</v>
      </c>
      <c r="G2149" s="180">
        <v>2</v>
      </c>
      <c r="H2149" s="180"/>
      <c r="I2149" s="180"/>
      <c r="J2149" s="180"/>
      <c r="K2149" s="180"/>
      <c r="L2149" s="180"/>
      <c r="M2149" s="180"/>
      <c r="N2149" s="180"/>
      <c r="O2149" s="180"/>
      <c r="P2149" s="180"/>
    </row>
    <row r="2150" spans="1:16" x14ac:dyDescent="0.45">
      <c r="A2150" s="180" t="s">
        <v>84</v>
      </c>
      <c r="B2150" s="73">
        <v>3</v>
      </c>
      <c r="C2150" s="73">
        <v>3</v>
      </c>
      <c r="D2150" s="180" t="s">
        <v>602</v>
      </c>
      <c r="E2150" s="39">
        <v>43597</v>
      </c>
      <c r="F2150" s="179">
        <v>0.49027777777777781</v>
      </c>
      <c r="G2150" s="180">
        <v>9</v>
      </c>
      <c r="H2150" s="180" t="s">
        <v>616</v>
      </c>
      <c r="I2150" s="180"/>
      <c r="J2150" s="180"/>
      <c r="K2150" s="180"/>
      <c r="L2150" s="180"/>
      <c r="M2150" s="180"/>
      <c r="N2150" s="180"/>
      <c r="O2150" s="180"/>
      <c r="P2150" s="180"/>
    </row>
    <row r="2151" spans="1:16" x14ac:dyDescent="0.45">
      <c r="A2151" s="180" t="s">
        <v>84</v>
      </c>
      <c r="B2151" s="73">
        <v>2</v>
      </c>
      <c r="C2151" s="73">
        <v>2</v>
      </c>
      <c r="D2151" s="180" t="s">
        <v>600</v>
      </c>
      <c r="E2151" s="39">
        <v>43598</v>
      </c>
      <c r="F2151" s="179">
        <v>0.45555555555555555</v>
      </c>
      <c r="G2151" s="180">
        <v>3</v>
      </c>
      <c r="H2151" s="180" t="s">
        <v>627</v>
      </c>
      <c r="I2151" s="180"/>
      <c r="J2151" s="180"/>
      <c r="K2151" s="180"/>
      <c r="L2151" s="180"/>
      <c r="M2151" s="180"/>
      <c r="N2151" s="180"/>
      <c r="O2151" s="180"/>
      <c r="P2151" s="180"/>
    </row>
    <row r="2152" spans="1:16" x14ac:dyDescent="0.45">
      <c r="A2152" s="180" t="s">
        <v>84</v>
      </c>
      <c r="B2152" s="73">
        <v>2</v>
      </c>
      <c r="C2152" s="73"/>
      <c r="D2152" s="180" t="s">
        <v>600</v>
      </c>
      <c r="E2152" s="39">
        <v>43598</v>
      </c>
      <c r="F2152" s="179">
        <v>0.45555555555555555</v>
      </c>
      <c r="G2152" s="180">
        <v>3</v>
      </c>
      <c r="H2152" s="180" t="s">
        <v>627</v>
      </c>
      <c r="I2152" s="180"/>
      <c r="J2152" s="180"/>
      <c r="K2152" s="180"/>
      <c r="L2152" s="180"/>
      <c r="M2152" s="180"/>
      <c r="N2152" s="180"/>
      <c r="O2152" s="180"/>
      <c r="P2152" s="180"/>
    </row>
    <row r="2153" spans="1:16" x14ac:dyDescent="0.45">
      <c r="A2153" s="180" t="s">
        <v>84</v>
      </c>
      <c r="B2153" s="73">
        <v>3</v>
      </c>
      <c r="C2153" s="73">
        <v>3</v>
      </c>
      <c r="D2153" s="180" t="s">
        <v>618</v>
      </c>
      <c r="E2153" s="39">
        <v>43599</v>
      </c>
      <c r="F2153" s="179">
        <v>0.59375</v>
      </c>
      <c r="G2153" s="180">
        <v>2</v>
      </c>
      <c r="H2153" s="180"/>
      <c r="I2153" s="180"/>
      <c r="J2153" s="180"/>
      <c r="K2153" s="180"/>
      <c r="L2153" s="180"/>
      <c r="M2153" s="180"/>
      <c r="N2153" s="180"/>
      <c r="O2153" s="180"/>
      <c r="P2153" s="180"/>
    </row>
    <row r="2154" spans="1:16" x14ac:dyDescent="0.45">
      <c r="A2154" s="180" t="s">
        <v>84</v>
      </c>
      <c r="B2154" s="73">
        <v>3</v>
      </c>
      <c r="C2154" s="73"/>
      <c r="D2154" s="180" t="s">
        <v>618</v>
      </c>
      <c r="E2154" s="39">
        <v>43599</v>
      </c>
      <c r="F2154" s="179">
        <v>0.59375</v>
      </c>
      <c r="G2154" s="180">
        <v>2</v>
      </c>
      <c r="H2154" s="180"/>
      <c r="I2154" s="180"/>
      <c r="J2154" s="180"/>
      <c r="K2154" s="180"/>
      <c r="L2154" s="180"/>
      <c r="M2154" s="180"/>
      <c r="N2154" s="180"/>
      <c r="O2154" s="180"/>
      <c r="P2154" s="180"/>
    </row>
    <row r="2155" spans="1:16" x14ac:dyDescent="0.45">
      <c r="A2155" s="180" t="s">
        <v>84</v>
      </c>
      <c r="B2155" s="73">
        <v>1</v>
      </c>
      <c r="C2155" s="73"/>
      <c r="D2155" s="180" t="s">
        <v>600</v>
      </c>
      <c r="E2155" s="39">
        <v>43599</v>
      </c>
      <c r="F2155" s="179">
        <v>0.63194444444444442</v>
      </c>
      <c r="G2155" s="180">
        <v>2</v>
      </c>
      <c r="H2155" s="180"/>
      <c r="I2155" s="180" t="s">
        <v>649</v>
      </c>
      <c r="J2155" s="180"/>
      <c r="K2155" s="180"/>
      <c r="L2155" s="180"/>
      <c r="M2155" s="180"/>
      <c r="N2155" s="180"/>
      <c r="O2155" s="180"/>
      <c r="P2155" s="180"/>
    </row>
    <row r="2156" spans="1:16" x14ac:dyDescent="0.45">
      <c r="A2156" s="180" t="s">
        <v>84</v>
      </c>
      <c r="B2156" s="73">
        <v>1</v>
      </c>
      <c r="C2156" s="73">
        <v>1</v>
      </c>
      <c r="D2156" s="180" t="s">
        <v>600</v>
      </c>
      <c r="E2156" s="39">
        <v>43603</v>
      </c>
      <c r="F2156" s="179">
        <v>0.70277777777777783</v>
      </c>
      <c r="G2156" s="180">
        <v>5</v>
      </c>
      <c r="H2156" s="180" t="s">
        <v>628</v>
      </c>
      <c r="I2156" s="180"/>
      <c r="J2156" s="180"/>
      <c r="K2156" s="180"/>
      <c r="L2156" s="180"/>
      <c r="M2156" s="180"/>
      <c r="N2156" s="180"/>
      <c r="O2156" s="180"/>
      <c r="P2156" s="180"/>
    </row>
    <row r="2157" spans="1:16" x14ac:dyDescent="0.45">
      <c r="A2157" s="180" t="s">
        <v>84</v>
      </c>
      <c r="B2157" s="73">
        <v>1</v>
      </c>
      <c r="C2157" s="73"/>
      <c r="D2157" s="180" t="s">
        <v>600</v>
      </c>
      <c r="E2157" s="39">
        <v>43603</v>
      </c>
      <c r="F2157" s="179">
        <v>0.70277777777777783</v>
      </c>
      <c r="G2157" s="180">
        <v>5</v>
      </c>
      <c r="H2157" s="180" t="s">
        <v>628</v>
      </c>
      <c r="I2157" s="180"/>
      <c r="J2157" s="180"/>
      <c r="K2157" s="180"/>
      <c r="L2157" s="180"/>
      <c r="M2157" s="180"/>
      <c r="N2157" s="180"/>
      <c r="O2157" s="180"/>
      <c r="P2157" s="180"/>
    </row>
    <row r="2158" spans="1:16" x14ac:dyDescent="0.45">
      <c r="A2158" s="1" t="s">
        <v>273</v>
      </c>
      <c r="B2158" s="73"/>
      <c r="C2158" s="73">
        <f>SUM(C2112:C2157)</f>
        <v>40</v>
      </c>
      <c r="D2158" s="180"/>
      <c r="E2158" s="39"/>
      <c r="F2158" s="179"/>
      <c r="G2158" s="180"/>
      <c r="H2158" s="180"/>
      <c r="I2158" s="180"/>
      <c r="J2158" s="180"/>
      <c r="K2158" s="180"/>
      <c r="L2158" s="180"/>
      <c r="M2158" s="180"/>
      <c r="N2158" s="180"/>
      <c r="O2158" s="180"/>
      <c r="P2158" s="180"/>
    </row>
    <row r="2159" spans="1:16" x14ac:dyDescent="0.45">
      <c r="A2159" s="180"/>
      <c r="B2159" s="73"/>
      <c r="C2159" s="73"/>
      <c r="D2159" s="180"/>
      <c r="E2159" s="39"/>
      <c r="F2159" s="179"/>
      <c r="G2159" s="180"/>
      <c r="H2159" s="180"/>
      <c r="I2159" s="180"/>
      <c r="J2159" s="180"/>
      <c r="K2159" s="180"/>
      <c r="L2159" s="180"/>
      <c r="M2159" s="180"/>
      <c r="N2159" s="180"/>
      <c r="O2159" s="180"/>
      <c r="P2159" s="180"/>
    </row>
    <row r="2160" spans="1:16" x14ac:dyDescent="0.45">
      <c r="A2160" s="180" t="s">
        <v>13</v>
      </c>
      <c r="B2160" s="73">
        <v>1</v>
      </c>
      <c r="C2160" s="73">
        <v>1</v>
      </c>
      <c r="D2160" s="180" t="s">
        <v>624</v>
      </c>
      <c r="E2160" s="39">
        <v>43596</v>
      </c>
      <c r="F2160" s="179">
        <v>0.50486111111111109</v>
      </c>
      <c r="G2160" s="180">
        <v>1</v>
      </c>
      <c r="H2160" s="180"/>
      <c r="I2160" s="180"/>
      <c r="J2160" s="180"/>
      <c r="K2160" s="180"/>
      <c r="L2160" s="180"/>
      <c r="M2160" s="180"/>
      <c r="N2160" s="180"/>
      <c r="O2160" s="180"/>
      <c r="P2160" s="180"/>
    </row>
    <row r="2161" spans="1:16" x14ac:dyDescent="0.45">
      <c r="A2161" s="180" t="s">
        <v>13</v>
      </c>
      <c r="B2161" s="73">
        <v>1</v>
      </c>
      <c r="C2161" s="73"/>
      <c r="D2161" s="180" t="s">
        <v>600</v>
      </c>
      <c r="E2161" s="39">
        <v>43596</v>
      </c>
      <c r="F2161" s="179">
        <v>0.59861111111111109</v>
      </c>
      <c r="G2161" s="180">
        <v>1</v>
      </c>
      <c r="H2161" s="180"/>
      <c r="I2161" s="180"/>
      <c r="J2161" s="180"/>
      <c r="K2161" s="180"/>
      <c r="L2161" s="180"/>
      <c r="M2161" s="180"/>
      <c r="N2161" s="180"/>
      <c r="O2161" s="180"/>
      <c r="P2161" s="180"/>
    </row>
    <row r="2162" spans="1:16" x14ac:dyDescent="0.45">
      <c r="A2162" s="180" t="s">
        <v>13</v>
      </c>
      <c r="B2162" s="73">
        <v>1</v>
      </c>
      <c r="C2162" s="73"/>
      <c r="D2162" s="180" t="s">
        <v>625</v>
      </c>
      <c r="E2162" s="39">
        <v>43597</v>
      </c>
      <c r="F2162" s="179">
        <v>0.43958333333333338</v>
      </c>
      <c r="G2162" s="180">
        <v>2</v>
      </c>
      <c r="H2162" s="180"/>
      <c r="I2162" s="180"/>
      <c r="J2162" s="180"/>
      <c r="K2162" s="180"/>
      <c r="L2162" s="180"/>
      <c r="M2162" s="180"/>
      <c r="N2162" s="180"/>
      <c r="O2162" s="180"/>
      <c r="P2162" s="180"/>
    </row>
    <row r="2163" spans="1:16" x14ac:dyDescent="0.45">
      <c r="A2163" s="180" t="s">
        <v>13</v>
      </c>
      <c r="B2163" s="73">
        <v>1</v>
      </c>
      <c r="C2163" s="73"/>
      <c r="D2163" s="180" t="s">
        <v>600</v>
      </c>
      <c r="E2163" s="39">
        <v>43597</v>
      </c>
      <c r="F2163" s="179">
        <v>0.5083333333333333</v>
      </c>
      <c r="G2163" s="180">
        <v>1</v>
      </c>
      <c r="H2163" s="180"/>
      <c r="I2163" s="180"/>
      <c r="J2163" s="180"/>
      <c r="K2163" s="180"/>
      <c r="L2163" s="180"/>
      <c r="M2163" s="180"/>
      <c r="N2163" s="180"/>
      <c r="O2163" s="180"/>
      <c r="P2163" s="180"/>
    </row>
    <row r="2164" spans="1:16" x14ac:dyDescent="0.45">
      <c r="A2164" s="180" t="s">
        <v>13</v>
      </c>
      <c r="B2164" s="73">
        <v>2</v>
      </c>
      <c r="C2164" s="73">
        <v>2</v>
      </c>
      <c r="D2164" s="180" t="s">
        <v>600</v>
      </c>
      <c r="E2164" s="39">
        <v>43597</v>
      </c>
      <c r="F2164" s="179">
        <v>0.28819444444444448</v>
      </c>
      <c r="G2164" s="180">
        <v>6</v>
      </c>
      <c r="H2164" s="180" t="s">
        <v>609</v>
      </c>
      <c r="I2164" s="180"/>
      <c r="J2164" s="180"/>
      <c r="K2164" s="180"/>
      <c r="L2164" s="180"/>
      <c r="M2164" s="180"/>
      <c r="N2164" s="180"/>
      <c r="O2164" s="180"/>
      <c r="P2164" s="180"/>
    </row>
    <row r="2165" spans="1:16" x14ac:dyDescent="0.45">
      <c r="A2165" s="180" t="s">
        <v>13</v>
      </c>
      <c r="B2165" s="73">
        <v>1</v>
      </c>
      <c r="C2165" s="73"/>
      <c r="D2165" s="180" t="s">
        <v>626</v>
      </c>
      <c r="E2165" s="39">
        <v>43597</v>
      </c>
      <c r="F2165" s="179">
        <v>0.4548611111111111</v>
      </c>
      <c r="G2165" s="180">
        <v>2</v>
      </c>
      <c r="H2165" s="180"/>
      <c r="I2165" s="180"/>
      <c r="J2165" s="180"/>
      <c r="K2165" s="180"/>
      <c r="L2165" s="180"/>
      <c r="M2165" s="180"/>
      <c r="N2165" s="180"/>
      <c r="O2165" s="180"/>
      <c r="P2165" s="180"/>
    </row>
    <row r="2166" spans="1:16" x14ac:dyDescent="0.45">
      <c r="A2166" s="180" t="s">
        <v>13</v>
      </c>
      <c r="B2166" s="73">
        <v>2</v>
      </c>
      <c r="C2166" s="73"/>
      <c r="D2166" s="180" t="s">
        <v>600</v>
      </c>
      <c r="E2166" s="39">
        <v>43598</v>
      </c>
      <c r="F2166" s="179">
        <v>0.60416666666666663</v>
      </c>
      <c r="G2166" s="180">
        <v>6</v>
      </c>
      <c r="H2166" s="180" t="s">
        <v>617</v>
      </c>
      <c r="I2166" s="180"/>
      <c r="J2166" s="180"/>
      <c r="K2166" s="180"/>
      <c r="L2166" s="180"/>
      <c r="M2166" s="180"/>
      <c r="N2166" s="180"/>
      <c r="O2166" s="180"/>
      <c r="P2166" s="180"/>
    </row>
    <row r="2167" spans="1:16" x14ac:dyDescent="0.45">
      <c r="A2167" s="180" t="s">
        <v>13</v>
      </c>
      <c r="B2167" s="73">
        <v>4</v>
      </c>
      <c r="C2167" s="73">
        <v>4</v>
      </c>
      <c r="D2167" s="180" t="s">
        <v>600</v>
      </c>
      <c r="E2167" s="39">
        <v>43598</v>
      </c>
      <c r="F2167" s="179">
        <v>0.45347222222222222</v>
      </c>
      <c r="G2167" s="180">
        <v>2</v>
      </c>
      <c r="H2167" s="180"/>
      <c r="I2167" s="180"/>
      <c r="J2167" s="180"/>
      <c r="K2167" s="180"/>
      <c r="L2167" s="180"/>
      <c r="M2167" s="180"/>
      <c r="N2167" s="180"/>
      <c r="O2167" s="180"/>
      <c r="P2167" s="180"/>
    </row>
    <row r="2168" spans="1:16" x14ac:dyDescent="0.45">
      <c r="A2168" s="180" t="s">
        <v>13</v>
      </c>
      <c r="B2168" s="73">
        <v>1</v>
      </c>
      <c r="C2168" s="73"/>
      <c r="D2168" s="180" t="s">
        <v>600</v>
      </c>
      <c r="E2168" s="39">
        <v>43599</v>
      </c>
      <c r="F2168" s="179">
        <v>0.4201388888888889</v>
      </c>
      <c r="G2168" s="180">
        <v>1</v>
      </c>
      <c r="H2168" s="180"/>
      <c r="I2168" s="180"/>
      <c r="J2168" s="180"/>
      <c r="K2168" s="180"/>
      <c r="L2168" s="180"/>
      <c r="M2168" s="180"/>
      <c r="N2168" s="180"/>
      <c r="O2168" s="180"/>
      <c r="P2168" s="180"/>
    </row>
    <row r="2169" spans="1:16" x14ac:dyDescent="0.45">
      <c r="A2169" s="180" t="s">
        <v>13</v>
      </c>
      <c r="B2169" s="73">
        <v>45</v>
      </c>
      <c r="C2169" s="73">
        <v>45</v>
      </c>
      <c r="D2169" s="180" t="s">
        <v>618</v>
      </c>
      <c r="E2169" s="39">
        <v>43599</v>
      </c>
      <c r="F2169" s="179">
        <v>0.59375</v>
      </c>
      <c r="G2169" s="180">
        <v>2</v>
      </c>
      <c r="H2169" s="180"/>
      <c r="I2169" s="180"/>
      <c r="J2169" s="180"/>
      <c r="K2169" s="180"/>
      <c r="L2169" s="180"/>
      <c r="M2169" s="180"/>
      <c r="N2169" s="180"/>
      <c r="O2169" s="180"/>
      <c r="P2169" s="180"/>
    </row>
    <row r="2170" spans="1:16" x14ac:dyDescent="0.45">
      <c r="A2170" s="180" t="s">
        <v>13</v>
      </c>
      <c r="B2170" s="73">
        <v>1</v>
      </c>
      <c r="C2170" s="73">
        <v>1</v>
      </c>
      <c r="D2170" s="180" t="s">
        <v>618</v>
      </c>
      <c r="E2170" s="39">
        <v>43601</v>
      </c>
      <c r="F2170" s="179">
        <v>0.5131944444444444</v>
      </c>
      <c r="G2170" s="180">
        <v>1</v>
      </c>
      <c r="H2170" s="180"/>
      <c r="I2170" s="180"/>
      <c r="J2170" s="180"/>
      <c r="K2170" s="180"/>
      <c r="L2170" s="180"/>
      <c r="M2170" s="180"/>
      <c r="N2170" s="180"/>
      <c r="O2170" s="180"/>
      <c r="P2170" s="180"/>
    </row>
    <row r="2171" spans="1:16" x14ac:dyDescent="0.45">
      <c r="A2171" s="180" t="s">
        <v>13</v>
      </c>
      <c r="B2171" s="73">
        <v>3</v>
      </c>
      <c r="C2171" s="73">
        <v>3</v>
      </c>
      <c r="D2171" s="180" t="s">
        <v>600</v>
      </c>
      <c r="E2171" s="39">
        <v>43603</v>
      </c>
      <c r="F2171" s="179">
        <v>0.70277777777777783</v>
      </c>
      <c r="G2171" s="180">
        <v>5</v>
      </c>
      <c r="H2171" s="180" t="s">
        <v>628</v>
      </c>
      <c r="I2171" s="180"/>
      <c r="J2171" s="180"/>
      <c r="K2171" s="180"/>
      <c r="L2171" s="180"/>
      <c r="M2171" s="180"/>
      <c r="N2171" s="180"/>
      <c r="O2171" s="180"/>
      <c r="P2171" s="180"/>
    </row>
    <row r="2172" spans="1:16" x14ac:dyDescent="0.45">
      <c r="A2172" s="180" t="s">
        <v>13</v>
      </c>
      <c r="B2172" s="73">
        <v>3</v>
      </c>
      <c r="C2172" s="73"/>
      <c r="D2172" s="180" t="s">
        <v>600</v>
      </c>
      <c r="E2172" s="39">
        <v>43603</v>
      </c>
      <c r="F2172" s="179">
        <v>0.70277777777777783</v>
      </c>
      <c r="G2172" s="180">
        <v>5</v>
      </c>
      <c r="H2172" s="180" t="s">
        <v>628</v>
      </c>
      <c r="I2172" s="180"/>
      <c r="J2172" s="180"/>
      <c r="K2172" s="180"/>
      <c r="L2172" s="180"/>
      <c r="M2172" s="180"/>
      <c r="N2172" s="180"/>
      <c r="O2172" s="180"/>
      <c r="P2172" s="180"/>
    </row>
    <row r="2173" spans="1:16" x14ac:dyDescent="0.45">
      <c r="A2173" s="180" t="s">
        <v>13</v>
      </c>
      <c r="B2173" s="73">
        <v>3</v>
      </c>
      <c r="C2173" s="73">
        <v>3</v>
      </c>
      <c r="D2173" s="180" t="s">
        <v>600</v>
      </c>
      <c r="E2173" s="39">
        <v>43605</v>
      </c>
      <c r="F2173" s="179">
        <v>0.67708333333333337</v>
      </c>
      <c r="G2173" s="180">
        <v>1</v>
      </c>
      <c r="H2173" s="180"/>
      <c r="I2173" s="180"/>
      <c r="J2173" s="180"/>
      <c r="K2173" s="180"/>
      <c r="L2173" s="180"/>
      <c r="M2173" s="180"/>
      <c r="N2173" s="180"/>
      <c r="O2173" s="180"/>
      <c r="P2173" s="180"/>
    </row>
    <row r="2174" spans="1:16" x14ac:dyDescent="0.45">
      <c r="A2174" s="1" t="s">
        <v>273</v>
      </c>
      <c r="B2174" s="73"/>
      <c r="C2174" s="73">
        <f>SUM(C2160:C2173)</f>
        <v>59</v>
      </c>
      <c r="D2174" s="180"/>
      <c r="E2174" s="39"/>
      <c r="F2174" s="179"/>
      <c r="G2174" s="180"/>
      <c r="H2174" s="180"/>
      <c r="I2174" s="180"/>
      <c r="J2174" s="180"/>
      <c r="K2174" s="180"/>
      <c r="L2174" s="180"/>
      <c r="M2174" s="180"/>
      <c r="N2174" s="180"/>
      <c r="O2174" s="180"/>
      <c r="P2174" s="180"/>
    </row>
    <row r="2175" spans="1:16" x14ac:dyDescent="0.45">
      <c r="A2175" s="180"/>
      <c r="B2175" s="73"/>
      <c r="C2175" s="73"/>
      <c r="D2175" s="180"/>
      <c r="E2175" s="39"/>
      <c r="F2175" s="179"/>
      <c r="G2175" s="180"/>
      <c r="H2175" s="180"/>
      <c r="I2175" s="180"/>
      <c r="J2175" s="180"/>
      <c r="K2175" s="180"/>
      <c r="L2175" s="180"/>
      <c r="M2175" s="180"/>
      <c r="N2175" s="180"/>
      <c r="O2175" s="180"/>
      <c r="P2175" s="180"/>
    </row>
    <row r="2176" spans="1:16" x14ac:dyDescent="0.45">
      <c r="A2176" s="180" t="s">
        <v>494</v>
      </c>
      <c r="B2176" s="73">
        <v>2</v>
      </c>
      <c r="C2176" s="73">
        <v>2</v>
      </c>
      <c r="D2176" s="180" t="s">
        <v>600</v>
      </c>
      <c r="E2176" s="39">
        <v>43594</v>
      </c>
      <c r="F2176" s="179">
        <v>0.37222222222222223</v>
      </c>
      <c r="G2176" s="180">
        <v>24</v>
      </c>
      <c r="H2176" s="180"/>
      <c r="I2176" s="180"/>
      <c r="J2176" s="180"/>
      <c r="K2176" s="180"/>
      <c r="L2176" s="180"/>
      <c r="M2176" s="180"/>
      <c r="N2176" s="180"/>
      <c r="O2176" s="180"/>
      <c r="P2176" s="180"/>
    </row>
    <row r="2177" spans="1:16" x14ac:dyDescent="0.45">
      <c r="A2177" s="180" t="s">
        <v>494</v>
      </c>
      <c r="B2177" s="73">
        <v>2</v>
      </c>
      <c r="C2177" s="73"/>
      <c r="D2177" s="180" t="s">
        <v>600</v>
      </c>
      <c r="E2177" s="39">
        <v>43594</v>
      </c>
      <c r="F2177" s="179">
        <v>0.37222222222222223</v>
      </c>
      <c r="G2177" s="180">
        <v>24</v>
      </c>
      <c r="H2177" s="180"/>
      <c r="I2177" s="180"/>
      <c r="J2177" s="180"/>
      <c r="K2177" s="180"/>
      <c r="L2177" s="180"/>
      <c r="M2177" s="180"/>
      <c r="N2177" s="180"/>
      <c r="O2177" s="180"/>
      <c r="P2177" s="180"/>
    </row>
    <row r="2178" spans="1:16" x14ac:dyDescent="0.45">
      <c r="A2178" s="180" t="s">
        <v>494</v>
      </c>
      <c r="B2178" s="73">
        <v>2</v>
      </c>
      <c r="C2178" s="73"/>
      <c r="D2178" s="180" t="s">
        <v>600</v>
      </c>
      <c r="E2178" s="39">
        <v>43594</v>
      </c>
      <c r="F2178" s="179">
        <v>0.37222222222222223</v>
      </c>
      <c r="G2178" s="180">
        <v>24</v>
      </c>
      <c r="H2178" s="180"/>
      <c r="I2178" s="180"/>
      <c r="J2178" s="180"/>
      <c r="K2178" s="180"/>
      <c r="L2178" s="180"/>
      <c r="M2178" s="180"/>
      <c r="N2178" s="180"/>
      <c r="O2178" s="180"/>
      <c r="P2178" s="180"/>
    </row>
    <row r="2179" spans="1:16" x14ac:dyDescent="0.45">
      <c r="A2179" s="180" t="s">
        <v>494</v>
      </c>
      <c r="B2179" s="73">
        <v>2</v>
      </c>
      <c r="C2179" s="73"/>
      <c r="D2179" s="180" t="s">
        <v>600</v>
      </c>
      <c r="E2179" s="39">
        <v>43594</v>
      </c>
      <c r="F2179" s="179">
        <v>0.37222222222222223</v>
      </c>
      <c r="G2179" s="180">
        <v>24</v>
      </c>
      <c r="H2179" s="180"/>
      <c r="I2179" s="180"/>
      <c r="J2179" s="180"/>
      <c r="K2179" s="180"/>
      <c r="L2179" s="180"/>
      <c r="M2179" s="180"/>
      <c r="N2179" s="180"/>
      <c r="O2179" s="180"/>
      <c r="P2179" s="180"/>
    </row>
    <row r="2180" spans="1:16" x14ac:dyDescent="0.45">
      <c r="A2180" s="180" t="s">
        <v>494</v>
      </c>
      <c r="B2180" s="73">
        <v>2</v>
      </c>
      <c r="C2180" s="73"/>
      <c r="D2180" s="180" t="s">
        <v>600</v>
      </c>
      <c r="E2180" s="39">
        <v>43594</v>
      </c>
      <c r="F2180" s="179">
        <v>0.37222222222222223</v>
      </c>
      <c r="G2180" s="180">
        <v>24</v>
      </c>
      <c r="H2180" s="180"/>
      <c r="I2180" s="180"/>
      <c r="J2180" s="180"/>
      <c r="K2180" s="180"/>
      <c r="L2180" s="180"/>
      <c r="M2180" s="180"/>
      <c r="N2180" s="180"/>
      <c r="O2180" s="180"/>
      <c r="P2180" s="180"/>
    </row>
    <row r="2181" spans="1:16" x14ac:dyDescent="0.45">
      <c r="A2181" s="180" t="s">
        <v>494</v>
      </c>
      <c r="B2181" s="73">
        <v>2</v>
      </c>
      <c r="C2181" s="73"/>
      <c r="D2181" s="180" t="s">
        <v>600</v>
      </c>
      <c r="E2181" s="39">
        <v>43594</v>
      </c>
      <c r="F2181" s="179">
        <v>0.37222222222222223</v>
      </c>
      <c r="G2181" s="180">
        <v>24</v>
      </c>
      <c r="H2181" s="180"/>
      <c r="I2181" s="180"/>
      <c r="J2181" s="180"/>
      <c r="K2181" s="180"/>
      <c r="L2181" s="180"/>
      <c r="M2181" s="180"/>
      <c r="N2181" s="180"/>
      <c r="O2181" s="180"/>
      <c r="P2181" s="180"/>
    </row>
    <row r="2182" spans="1:16" x14ac:dyDescent="0.45">
      <c r="A2182" s="180" t="s">
        <v>494</v>
      </c>
      <c r="B2182" s="73">
        <v>20</v>
      </c>
      <c r="C2182" s="73">
        <v>20</v>
      </c>
      <c r="D2182" s="180" t="s">
        <v>600</v>
      </c>
      <c r="E2182" s="39">
        <v>43595</v>
      </c>
      <c r="F2182" s="179">
        <v>0.37361111111111112</v>
      </c>
      <c r="G2182" s="180">
        <v>24</v>
      </c>
      <c r="H2182" s="180"/>
      <c r="I2182" s="180"/>
      <c r="J2182" s="180"/>
      <c r="K2182" s="180"/>
      <c r="L2182" s="180"/>
      <c r="M2182" s="180"/>
      <c r="N2182" s="180"/>
      <c r="O2182" s="180"/>
      <c r="P2182" s="180"/>
    </row>
    <row r="2183" spans="1:16" x14ac:dyDescent="0.45">
      <c r="A2183" s="180" t="s">
        <v>494</v>
      </c>
      <c r="B2183" s="73">
        <v>20</v>
      </c>
      <c r="C2183" s="73"/>
      <c r="D2183" s="180" t="s">
        <v>600</v>
      </c>
      <c r="E2183" s="39">
        <v>43595</v>
      </c>
      <c r="F2183" s="179">
        <v>0.37361111111111112</v>
      </c>
      <c r="G2183" s="180">
        <v>24</v>
      </c>
      <c r="H2183" s="180"/>
      <c r="I2183" s="180"/>
      <c r="J2183" s="180"/>
      <c r="K2183" s="180"/>
      <c r="L2183" s="180"/>
      <c r="M2183" s="180"/>
      <c r="N2183" s="180"/>
      <c r="O2183" s="180"/>
      <c r="P2183" s="180"/>
    </row>
    <row r="2184" spans="1:16" x14ac:dyDescent="0.45">
      <c r="A2184" s="180" t="s">
        <v>494</v>
      </c>
      <c r="B2184" s="73">
        <v>20</v>
      </c>
      <c r="C2184" s="73"/>
      <c r="D2184" s="180" t="s">
        <v>600</v>
      </c>
      <c r="E2184" s="39">
        <v>43595</v>
      </c>
      <c r="F2184" s="179">
        <v>0.37361111111111112</v>
      </c>
      <c r="G2184" s="180">
        <v>24</v>
      </c>
      <c r="H2184" s="180"/>
      <c r="I2184" s="180"/>
      <c r="J2184" s="180"/>
      <c r="K2184" s="180"/>
      <c r="L2184" s="180"/>
      <c r="M2184" s="180"/>
      <c r="N2184" s="180"/>
      <c r="O2184" s="180"/>
      <c r="P2184" s="180"/>
    </row>
    <row r="2185" spans="1:16" x14ac:dyDescent="0.45">
      <c r="A2185" s="180" t="s">
        <v>494</v>
      </c>
      <c r="B2185" s="73">
        <v>20</v>
      </c>
      <c r="C2185" s="73"/>
      <c r="D2185" s="180" t="s">
        <v>600</v>
      </c>
      <c r="E2185" s="39">
        <v>43595</v>
      </c>
      <c r="F2185" s="179">
        <v>0.37361111111111112</v>
      </c>
      <c r="G2185" s="180">
        <v>24</v>
      </c>
      <c r="H2185" s="180"/>
      <c r="I2185" s="180"/>
      <c r="J2185" s="180"/>
      <c r="K2185" s="180"/>
      <c r="L2185" s="180"/>
      <c r="M2185" s="180"/>
      <c r="N2185" s="180"/>
      <c r="O2185" s="180"/>
      <c r="P2185" s="180"/>
    </row>
    <row r="2186" spans="1:16" x14ac:dyDescent="0.45">
      <c r="A2186" s="180" t="s">
        <v>494</v>
      </c>
      <c r="B2186" s="73">
        <v>20</v>
      </c>
      <c r="C2186" s="73"/>
      <c r="D2186" s="180" t="s">
        <v>600</v>
      </c>
      <c r="E2186" s="39">
        <v>43595</v>
      </c>
      <c r="F2186" s="179">
        <v>0.37361111111111112</v>
      </c>
      <c r="G2186" s="180">
        <v>24</v>
      </c>
      <c r="H2186" s="180"/>
      <c r="I2186" s="180"/>
      <c r="J2186" s="180"/>
      <c r="K2186" s="180"/>
      <c r="L2186" s="180"/>
      <c r="M2186" s="180"/>
      <c r="N2186" s="180"/>
      <c r="O2186" s="180"/>
      <c r="P2186" s="180"/>
    </row>
    <row r="2187" spans="1:16" x14ac:dyDescent="0.45">
      <c r="A2187" s="180" t="s">
        <v>494</v>
      </c>
      <c r="B2187" s="73">
        <v>20</v>
      </c>
      <c r="C2187" s="73"/>
      <c r="D2187" s="180" t="s">
        <v>600</v>
      </c>
      <c r="E2187" s="39">
        <v>43595</v>
      </c>
      <c r="F2187" s="179">
        <v>0.37361111111111112</v>
      </c>
      <c r="G2187" s="180">
        <v>24</v>
      </c>
      <c r="H2187" s="180"/>
      <c r="I2187" s="180"/>
      <c r="J2187" s="180"/>
      <c r="K2187" s="180"/>
      <c r="L2187" s="180"/>
      <c r="M2187" s="180"/>
      <c r="N2187" s="180"/>
      <c r="O2187" s="180"/>
      <c r="P2187" s="180"/>
    </row>
    <row r="2188" spans="1:16" x14ac:dyDescent="0.45">
      <c r="A2188" s="180" t="s">
        <v>494</v>
      </c>
      <c r="B2188" s="73">
        <v>35</v>
      </c>
      <c r="C2188" s="73">
        <v>35</v>
      </c>
      <c r="D2188" s="180" t="s">
        <v>600</v>
      </c>
      <c r="E2188" s="39">
        <v>43596</v>
      </c>
      <c r="F2188" s="179">
        <v>0.28194444444444444</v>
      </c>
      <c r="G2188" s="180">
        <v>1</v>
      </c>
      <c r="H2188" s="180"/>
      <c r="I2188" s="180"/>
      <c r="J2188" s="180"/>
      <c r="K2188" s="180"/>
      <c r="L2188" s="180"/>
      <c r="M2188" s="180"/>
      <c r="N2188" s="180"/>
      <c r="O2188" s="180"/>
      <c r="P2188" s="180"/>
    </row>
    <row r="2189" spans="1:16" x14ac:dyDescent="0.45">
      <c r="A2189" s="180" t="s">
        <v>494</v>
      </c>
      <c r="B2189" s="73">
        <v>2</v>
      </c>
      <c r="C2189" s="73"/>
      <c r="D2189" s="180" t="s">
        <v>624</v>
      </c>
      <c r="E2189" s="39">
        <v>43596</v>
      </c>
      <c r="F2189" s="179">
        <v>0.50486111111111109</v>
      </c>
      <c r="G2189" s="180">
        <v>1</v>
      </c>
      <c r="H2189" s="180"/>
      <c r="I2189" s="180"/>
      <c r="J2189" s="180"/>
      <c r="K2189" s="180"/>
      <c r="L2189" s="180"/>
      <c r="M2189" s="180"/>
      <c r="N2189" s="180"/>
      <c r="O2189" s="180"/>
      <c r="P2189" s="180"/>
    </row>
    <row r="2190" spans="1:16" x14ac:dyDescent="0.45">
      <c r="A2190" s="180" t="s">
        <v>494</v>
      </c>
      <c r="B2190" s="73">
        <v>15</v>
      </c>
      <c r="C2190" s="73"/>
      <c r="D2190" s="180" t="s">
        <v>600</v>
      </c>
      <c r="E2190" s="39">
        <v>43597</v>
      </c>
      <c r="F2190" s="179">
        <v>0.46527777777777773</v>
      </c>
      <c r="G2190" s="180">
        <v>1</v>
      </c>
      <c r="H2190" s="180" t="s">
        <v>610</v>
      </c>
      <c r="I2190" s="180"/>
      <c r="J2190" s="180"/>
      <c r="K2190" s="180"/>
      <c r="L2190" s="180"/>
      <c r="M2190" s="180"/>
      <c r="N2190" s="180"/>
      <c r="O2190" s="180"/>
      <c r="P2190" s="180"/>
    </row>
    <row r="2191" spans="1:16" x14ac:dyDescent="0.45">
      <c r="A2191" s="180" t="s">
        <v>494</v>
      </c>
      <c r="B2191" s="73">
        <v>13</v>
      </c>
      <c r="C2191" s="73"/>
      <c r="D2191" s="180" t="s">
        <v>602</v>
      </c>
      <c r="E2191" s="39">
        <v>43597</v>
      </c>
      <c r="F2191" s="179">
        <v>0.49027777777777781</v>
      </c>
      <c r="G2191" s="180">
        <v>9</v>
      </c>
      <c r="H2191" s="180" t="s">
        <v>616</v>
      </c>
      <c r="I2191" s="180"/>
      <c r="J2191" s="180"/>
      <c r="K2191" s="180"/>
      <c r="L2191" s="180"/>
      <c r="M2191" s="180"/>
      <c r="N2191" s="180"/>
      <c r="O2191" s="180"/>
      <c r="P2191" s="180"/>
    </row>
    <row r="2192" spans="1:16" x14ac:dyDescent="0.45">
      <c r="A2192" s="180" t="s">
        <v>494</v>
      </c>
      <c r="B2192" s="73">
        <v>50</v>
      </c>
      <c r="C2192" s="73">
        <v>50</v>
      </c>
      <c r="D2192" s="180" t="s">
        <v>602</v>
      </c>
      <c r="E2192" s="39">
        <v>43597</v>
      </c>
      <c r="F2192" s="179">
        <v>0.44513888888888892</v>
      </c>
      <c r="G2192" s="180">
        <v>1</v>
      </c>
      <c r="H2192" s="180"/>
      <c r="I2192" s="180"/>
      <c r="J2192" s="180"/>
      <c r="K2192" s="180"/>
      <c r="L2192" s="180"/>
      <c r="M2192" s="180"/>
      <c r="N2192" s="180"/>
      <c r="O2192" s="180"/>
      <c r="P2192" s="180"/>
    </row>
    <row r="2193" spans="1:16" x14ac:dyDescent="0.45">
      <c r="A2193" s="180" t="s">
        <v>494</v>
      </c>
      <c r="B2193" s="73">
        <v>45</v>
      </c>
      <c r="C2193" s="73">
        <v>45</v>
      </c>
      <c r="D2193" s="180" t="s">
        <v>618</v>
      </c>
      <c r="E2193" s="39">
        <v>43599</v>
      </c>
      <c r="F2193" s="179">
        <v>0.59375</v>
      </c>
      <c r="G2193" s="180">
        <v>2</v>
      </c>
      <c r="H2193" s="180"/>
      <c r="I2193" s="180"/>
      <c r="J2193" s="180"/>
      <c r="K2193" s="180"/>
      <c r="L2193" s="180"/>
      <c r="M2193" s="180"/>
      <c r="N2193" s="180"/>
      <c r="O2193" s="180"/>
      <c r="P2193" s="180"/>
    </row>
    <row r="2194" spans="1:16" x14ac:dyDescent="0.45">
      <c r="A2194" s="180" t="s">
        <v>494</v>
      </c>
      <c r="B2194" s="73">
        <v>3</v>
      </c>
      <c r="C2194" s="73">
        <v>2</v>
      </c>
      <c r="D2194" s="180" t="s">
        <v>600</v>
      </c>
      <c r="E2194" s="39">
        <v>43603</v>
      </c>
      <c r="F2194" s="179">
        <v>0.70277777777777783</v>
      </c>
      <c r="G2194" s="180">
        <v>5</v>
      </c>
      <c r="H2194" s="180" t="s">
        <v>628</v>
      </c>
      <c r="I2194" s="180"/>
      <c r="J2194" s="180"/>
      <c r="K2194" s="180"/>
      <c r="L2194" s="180"/>
      <c r="M2194" s="180"/>
      <c r="N2194" s="180"/>
      <c r="O2194" s="180"/>
      <c r="P2194" s="180"/>
    </row>
    <row r="2195" spans="1:16" x14ac:dyDescent="0.45">
      <c r="A2195" s="180" t="s">
        <v>494</v>
      </c>
      <c r="B2195" s="73">
        <v>3</v>
      </c>
      <c r="C2195" s="73"/>
      <c r="D2195" s="180" t="s">
        <v>600</v>
      </c>
      <c r="E2195" s="39">
        <v>43603</v>
      </c>
      <c r="F2195" s="179">
        <v>0.70277777777777783</v>
      </c>
      <c r="G2195" s="180">
        <v>5</v>
      </c>
      <c r="H2195" s="180" t="s">
        <v>628</v>
      </c>
      <c r="I2195" s="180"/>
      <c r="J2195" s="180"/>
      <c r="K2195" s="180"/>
      <c r="L2195" s="180"/>
      <c r="M2195" s="180"/>
      <c r="N2195" s="180"/>
      <c r="O2195" s="180"/>
      <c r="P2195" s="180"/>
    </row>
    <row r="2196" spans="1:16" x14ac:dyDescent="0.45">
      <c r="A2196" s="1" t="s">
        <v>273</v>
      </c>
      <c r="B2196" s="73"/>
      <c r="C2196" s="73">
        <f>SUM(C2176:C2195)</f>
        <v>154</v>
      </c>
      <c r="D2196" s="180"/>
      <c r="E2196" s="39"/>
      <c r="F2196" s="179"/>
      <c r="G2196" s="180"/>
      <c r="H2196" s="180"/>
      <c r="I2196" s="180"/>
      <c r="J2196" s="180"/>
      <c r="K2196" s="180"/>
      <c r="L2196" s="180"/>
      <c r="M2196" s="180"/>
      <c r="N2196" s="180"/>
      <c r="O2196" s="180"/>
      <c r="P2196" s="180"/>
    </row>
    <row r="2197" spans="1:16" x14ac:dyDescent="0.45">
      <c r="A2197" s="180"/>
      <c r="B2197" s="73"/>
      <c r="C2197" s="73"/>
      <c r="D2197" s="180"/>
      <c r="E2197" s="39"/>
      <c r="F2197" s="179"/>
      <c r="G2197" s="180"/>
      <c r="H2197" s="180"/>
      <c r="I2197" s="180"/>
      <c r="J2197" s="180"/>
      <c r="K2197" s="180"/>
      <c r="L2197" s="180"/>
      <c r="M2197" s="180"/>
      <c r="N2197" s="180"/>
      <c r="O2197" s="180"/>
      <c r="P2197" s="180"/>
    </row>
    <row r="2198" spans="1:16" x14ac:dyDescent="0.45">
      <c r="A2198" s="180" t="s">
        <v>17</v>
      </c>
      <c r="B2198" s="73">
        <v>2</v>
      </c>
      <c r="C2198" s="73"/>
      <c r="D2198" s="180" t="s">
        <v>624</v>
      </c>
      <c r="E2198" s="39">
        <v>43596</v>
      </c>
      <c r="F2198" s="179">
        <v>0.50486111111111109</v>
      </c>
      <c r="G2198" s="180">
        <v>1</v>
      </c>
      <c r="H2198" s="180"/>
      <c r="I2198" s="180"/>
      <c r="J2198" s="180"/>
      <c r="K2198" s="180"/>
      <c r="L2198" s="180"/>
      <c r="M2198" s="180"/>
      <c r="N2198" s="180"/>
      <c r="O2198" s="180"/>
      <c r="P2198" s="180"/>
    </row>
    <row r="2199" spans="1:16" x14ac:dyDescent="0.45">
      <c r="A2199" s="180" t="s">
        <v>17</v>
      </c>
      <c r="B2199" s="73">
        <v>2</v>
      </c>
      <c r="C2199" s="73"/>
      <c r="D2199" s="180" t="s">
        <v>600</v>
      </c>
      <c r="E2199" s="39">
        <v>43596</v>
      </c>
      <c r="F2199" s="179">
        <v>0.38194444444444442</v>
      </c>
      <c r="G2199" s="180">
        <v>2</v>
      </c>
      <c r="H2199" s="180"/>
      <c r="I2199" s="180"/>
      <c r="J2199" s="180"/>
      <c r="K2199" s="180"/>
      <c r="L2199" s="180"/>
      <c r="M2199" s="180"/>
      <c r="N2199" s="180"/>
      <c r="O2199" s="180"/>
      <c r="P2199" s="180"/>
    </row>
    <row r="2200" spans="1:16" x14ac:dyDescent="0.45">
      <c r="A2200" s="180" t="s">
        <v>17</v>
      </c>
      <c r="B2200" s="73">
        <v>2</v>
      </c>
      <c r="C2200" s="73"/>
      <c r="D2200" s="180" t="s">
        <v>600</v>
      </c>
      <c r="E2200" s="39">
        <v>43596</v>
      </c>
      <c r="F2200" s="179">
        <v>0.38055555555555554</v>
      </c>
      <c r="G2200" s="180">
        <v>20</v>
      </c>
      <c r="H2200" s="180" t="s">
        <v>604</v>
      </c>
      <c r="I2200" s="180"/>
      <c r="J2200" s="180"/>
      <c r="K2200" s="180"/>
      <c r="L2200" s="180"/>
      <c r="M2200" s="180"/>
      <c r="N2200" s="180"/>
      <c r="O2200" s="180"/>
      <c r="P2200" s="180"/>
    </row>
    <row r="2201" spans="1:16" x14ac:dyDescent="0.45">
      <c r="A2201" s="180" t="s">
        <v>17</v>
      </c>
      <c r="B2201" s="73">
        <v>3</v>
      </c>
      <c r="C2201" s="73"/>
      <c r="D2201" s="180" t="s">
        <v>600</v>
      </c>
      <c r="E2201" s="39">
        <v>43596</v>
      </c>
      <c r="F2201" s="179">
        <v>0.44166666666666665</v>
      </c>
      <c r="G2201" s="180">
        <v>20</v>
      </c>
      <c r="H2201" s="180"/>
      <c r="I2201" s="180"/>
      <c r="J2201" s="180"/>
      <c r="K2201" s="180"/>
      <c r="L2201" s="180"/>
      <c r="M2201" s="180"/>
      <c r="N2201" s="180"/>
      <c r="O2201" s="180"/>
      <c r="P2201" s="180"/>
    </row>
    <row r="2202" spans="1:16" x14ac:dyDescent="0.45">
      <c r="A2202" s="180" t="s">
        <v>17</v>
      </c>
      <c r="B2202" s="73">
        <v>15</v>
      </c>
      <c r="C2202" s="73">
        <v>15</v>
      </c>
      <c r="D2202" s="180" t="s">
        <v>600</v>
      </c>
      <c r="E2202" s="39">
        <v>43596</v>
      </c>
      <c r="F2202" s="179">
        <v>0.3125</v>
      </c>
      <c r="G2202" s="180">
        <v>4</v>
      </c>
      <c r="H2202" s="180" t="s">
        <v>629</v>
      </c>
      <c r="I2202" s="180"/>
      <c r="J2202" s="180"/>
      <c r="K2202" s="180"/>
      <c r="L2202" s="180"/>
      <c r="M2202" s="180"/>
      <c r="N2202" s="180"/>
      <c r="O2202" s="180"/>
      <c r="P2202" s="180"/>
    </row>
    <row r="2203" spans="1:16" x14ac:dyDescent="0.45">
      <c r="A2203" s="180" t="s">
        <v>17</v>
      </c>
      <c r="B2203" s="73">
        <v>1</v>
      </c>
      <c r="C2203" s="73">
        <v>1</v>
      </c>
      <c r="D2203" s="180" t="s">
        <v>618</v>
      </c>
      <c r="E2203" s="39">
        <v>43599</v>
      </c>
      <c r="F2203" s="179">
        <v>0.59375</v>
      </c>
      <c r="G2203" s="180">
        <v>2</v>
      </c>
      <c r="H2203" s="180"/>
      <c r="I2203" s="180"/>
      <c r="J2203" s="180"/>
      <c r="K2203" s="180"/>
      <c r="L2203" s="180"/>
      <c r="M2203" s="180"/>
      <c r="N2203" s="180"/>
      <c r="O2203" s="180"/>
      <c r="P2203" s="180"/>
    </row>
    <row r="2204" spans="1:16" x14ac:dyDescent="0.45">
      <c r="A2204" s="180" t="s">
        <v>17</v>
      </c>
      <c r="B2204" s="73">
        <v>1</v>
      </c>
      <c r="C2204" s="73">
        <v>1</v>
      </c>
      <c r="D2204" s="180" t="s">
        <v>618</v>
      </c>
      <c r="E2204" s="39">
        <v>43601</v>
      </c>
      <c r="F2204" s="179">
        <v>0.5131944444444444</v>
      </c>
      <c r="G2204" s="180">
        <v>1</v>
      </c>
      <c r="H2204" s="180"/>
      <c r="I2204" s="180"/>
      <c r="J2204" s="180"/>
      <c r="K2204" s="180"/>
      <c r="L2204" s="180"/>
      <c r="M2204" s="180"/>
      <c r="N2204" s="180"/>
      <c r="O2204" s="180"/>
      <c r="P2204" s="180"/>
    </row>
    <row r="2205" spans="1:16" x14ac:dyDescent="0.45">
      <c r="A2205" s="180" t="s">
        <v>17</v>
      </c>
      <c r="B2205" s="73">
        <v>1</v>
      </c>
      <c r="C2205" s="73">
        <v>1</v>
      </c>
      <c r="D2205" s="180" t="s">
        <v>635</v>
      </c>
      <c r="E2205" s="39">
        <v>43608</v>
      </c>
      <c r="F2205" s="179">
        <v>0.92222222222222217</v>
      </c>
      <c r="G2205" s="180">
        <v>3</v>
      </c>
      <c r="H2205" s="180" t="s">
        <v>636</v>
      </c>
      <c r="I2205" s="180"/>
      <c r="J2205" s="180"/>
      <c r="K2205" s="180"/>
      <c r="L2205" s="180"/>
      <c r="M2205" s="180"/>
      <c r="N2205" s="180"/>
      <c r="O2205" s="180"/>
      <c r="P2205" s="180"/>
    </row>
    <row r="2206" spans="1:16" x14ac:dyDescent="0.45">
      <c r="A2206" s="180" t="s">
        <v>17</v>
      </c>
      <c r="B2206" s="73">
        <v>1</v>
      </c>
      <c r="C2206" s="73"/>
      <c r="D2206" s="180" t="s">
        <v>635</v>
      </c>
      <c r="E2206" s="39">
        <v>43608</v>
      </c>
      <c r="F2206" s="179">
        <v>0.92222222222222217</v>
      </c>
      <c r="G2206" s="180">
        <v>3</v>
      </c>
      <c r="H2206" s="180" t="s">
        <v>636</v>
      </c>
      <c r="I2206" s="180"/>
      <c r="J2206" s="180"/>
      <c r="K2206" s="180"/>
      <c r="L2206" s="180"/>
      <c r="M2206" s="180"/>
      <c r="N2206" s="180"/>
      <c r="O2206" s="180"/>
      <c r="P2206" s="180"/>
    </row>
    <row r="2207" spans="1:16" x14ac:dyDescent="0.45">
      <c r="A2207" s="1" t="s">
        <v>273</v>
      </c>
      <c r="B2207" s="73"/>
      <c r="C2207" s="73">
        <f>SUM(C2198:C2206)</f>
        <v>18</v>
      </c>
      <c r="D2207" s="180"/>
      <c r="E2207" s="39"/>
      <c r="F2207" s="179"/>
      <c r="G2207" s="180"/>
      <c r="H2207" s="180"/>
      <c r="I2207" s="180"/>
      <c r="J2207" s="180"/>
      <c r="K2207" s="180"/>
      <c r="L2207" s="180"/>
      <c r="M2207" s="180"/>
      <c r="N2207" s="180"/>
      <c r="O2207" s="180"/>
      <c r="P2207" s="180"/>
    </row>
    <row r="2208" spans="1:16" x14ac:dyDescent="0.45">
      <c r="A2208" s="180"/>
      <c r="B2208" s="73"/>
      <c r="C2208" s="73"/>
      <c r="D2208" s="180"/>
      <c r="E2208" s="39"/>
      <c r="F2208" s="179"/>
      <c r="G2208" s="180"/>
      <c r="H2208" s="180"/>
      <c r="I2208" s="180"/>
      <c r="J2208" s="180"/>
      <c r="K2208" s="180"/>
      <c r="L2208" s="180"/>
      <c r="M2208" s="180"/>
      <c r="N2208" s="180"/>
      <c r="O2208" s="180"/>
      <c r="P2208" s="180"/>
    </row>
    <row r="2209" spans="1:16" x14ac:dyDescent="0.45">
      <c r="A2209" s="180" t="s">
        <v>44</v>
      </c>
      <c r="B2209" s="73">
        <v>1</v>
      </c>
      <c r="C2209" s="73">
        <v>1</v>
      </c>
      <c r="D2209" s="180" t="s">
        <v>600</v>
      </c>
      <c r="E2209" s="39">
        <v>43590</v>
      </c>
      <c r="F2209" s="179">
        <v>0.52083333333333337</v>
      </c>
      <c r="G2209" s="180">
        <v>2</v>
      </c>
      <c r="H2209" s="180"/>
      <c r="I2209" s="180"/>
      <c r="J2209" s="180"/>
      <c r="K2209" s="180"/>
      <c r="L2209" s="180"/>
      <c r="M2209" s="180"/>
      <c r="N2209" s="180"/>
      <c r="O2209" s="180"/>
      <c r="P2209" s="180"/>
    </row>
    <row r="2210" spans="1:16" x14ac:dyDescent="0.45">
      <c r="A2210" s="180" t="s">
        <v>44</v>
      </c>
      <c r="B2210" s="73">
        <v>2</v>
      </c>
      <c r="C2210" s="73">
        <v>2</v>
      </c>
      <c r="D2210" s="180" t="s">
        <v>600</v>
      </c>
      <c r="E2210" s="39">
        <v>43595</v>
      </c>
      <c r="F2210" s="179">
        <v>0.37361111111111112</v>
      </c>
      <c r="G2210" s="180">
        <v>24</v>
      </c>
      <c r="H2210" s="180"/>
      <c r="I2210" s="180"/>
      <c r="J2210" s="180"/>
      <c r="K2210" s="180"/>
      <c r="L2210" s="180"/>
      <c r="M2210" s="180"/>
      <c r="N2210" s="180"/>
      <c r="O2210" s="180"/>
      <c r="P2210" s="180"/>
    </row>
    <row r="2211" spans="1:16" x14ac:dyDescent="0.45">
      <c r="A2211" s="180" t="s">
        <v>44</v>
      </c>
      <c r="B2211" s="73">
        <v>3</v>
      </c>
      <c r="C2211" s="73">
        <v>3</v>
      </c>
      <c r="D2211" s="180" t="s">
        <v>600</v>
      </c>
      <c r="E2211" s="39">
        <v>43596</v>
      </c>
      <c r="F2211" s="179">
        <v>0.3125</v>
      </c>
      <c r="G2211" s="180">
        <v>4</v>
      </c>
      <c r="H2211" s="180" t="s">
        <v>629</v>
      </c>
      <c r="I2211" s="180"/>
      <c r="J2211" s="180"/>
      <c r="K2211" s="180"/>
      <c r="L2211" s="180"/>
      <c r="M2211" s="180"/>
      <c r="N2211" s="180"/>
      <c r="O2211" s="180"/>
      <c r="P2211" s="180"/>
    </row>
    <row r="2212" spans="1:16" x14ac:dyDescent="0.45">
      <c r="A2212" s="180" t="s">
        <v>44</v>
      </c>
      <c r="B2212" s="73">
        <v>1</v>
      </c>
      <c r="C2212" s="73">
        <v>1</v>
      </c>
      <c r="D2212" s="180" t="s">
        <v>618</v>
      </c>
      <c r="E2212" s="39">
        <v>43599</v>
      </c>
      <c r="F2212" s="179">
        <v>0.59375</v>
      </c>
      <c r="G2212" s="180">
        <v>2</v>
      </c>
      <c r="H2212" s="180"/>
      <c r="I2212" s="180"/>
      <c r="J2212" s="180"/>
      <c r="K2212" s="180"/>
      <c r="L2212" s="180"/>
      <c r="M2212" s="180"/>
      <c r="N2212" s="180"/>
      <c r="O2212" s="180"/>
      <c r="P2212" s="180"/>
    </row>
    <row r="2213" spans="1:16" x14ac:dyDescent="0.45">
      <c r="A2213" s="180" t="s">
        <v>44</v>
      </c>
      <c r="B2213" s="73">
        <v>1</v>
      </c>
      <c r="C2213" s="73"/>
      <c r="D2213" s="180" t="s">
        <v>600</v>
      </c>
      <c r="E2213" s="39">
        <v>43599</v>
      </c>
      <c r="F2213" s="179">
        <v>0.4201388888888889</v>
      </c>
      <c r="G2213" s="180">
        <v>1</v>
      </c>
      <c r="H2213" s="180"/>
      <c r="I2213" s="180"/>
      <c r="J2213" s="180"/>
      <c r="K2213" s="180"/>
      <c r="L2213" s="180"/>
      <c r="M2213" s="180"/>
      <c r="N2213" s="180"/>
      <c r="O2213" s="180"/>
      <c r="P2213" s="180"/>
    </row>
    <row r="2214" spans="1:16" x14ac:dyDescent="0.45">
      <c r="A2214" s="180" t="s">
        <v>44</v>
      </c>
      <c r="B2214" s="73">
        <v>1</v>
      </c>
      <c r="C2214" s="73"/>
      <c r="D2214" s="180" t="s">
        <v>600</v>
      </c>
      <c r="E2214" s="39">
        <v>43599</v>
      </c>
      <c r="F2214" s="179">
        <v>0.63194444444444442</v>
      </c>
      <c r="G2214" s="180">
        <v>2</v>
      </c>
      <c r="H2214" s="180"/>
      <c r="I2214" s="180"/>
      <c r="J2214" s="180"/>
      <c r="K2214" s="180"/>
      <c r="L2214" s="180"/>
      <c r="M2214" s="180"/>
      <c r="N2214" s="180"/>
      <c r="O2214" s="180"/>
      <c r="P2214" s="180"/>
    </row>
    <row r="2215" spans="1:16" x14ac:dyDescent="0.45">
      <c r="A2215" s="1" t="s">
        <v>273</v>
      </c>
      <c r="B2215" s="73"/>
      <c r="C2215" s="73">
        <f>SUM(C2209:C2214)</f>
        <v>7</v>
      </c>
      <c r="D2215" s="180"/>
      <c r="E2215" s="39"/>
      <c r="F2215" s="179"/>
      <c r="G2215" s="180"/>
      <c r="H2215" s="180"/>
      <c r="I2215" s="180"/>
      <c r="J2215" s="180"/>
      <c r="K2215" s="180"/>
      <c r="L2215" s="180"/>
      <c r="M2215" s="180"/>
      <c r="N2215" s="180"/>
      <c r="O2215" s="180"/>
      <c r="P2215" s="180"/>
    </row>
    <row r="2216" spans="1:16" x14ac:dyDescent="0.45">
      <c r="A2216" s="180"/>
      <c r="B2216" s="73"/>
      <c r="C2216" s="73"/>
      <c r="D2216" s="180"/>
      <c r="E2216" s="39"/>
      <c r="F2216" s="179"/>
      <c r="G2216" s="180"/>
      <c r="H2216" s="180"/>
      <c r="I2216" s="180"/>
      <c r="J2216" s="180"/>
      <c r="K2216" s="180"/>
      <c r="L2216" s="180"/>
      <c r="M2216" s="180"/>
      <c r="N2216" s="180"/>
      <c r="O2216" s="180"/>
      <c r="P2216" s="180"/>
    </row>
    <row r="2217" spans="1:16" x14ac:dyDescent="0.45">
      <c r="A2217" s="180" t="s">
        <v>46</v>
      </c>
      <c r="B2217" s="73">
        <v>2</v>
      </c>
      <c r="C2217" s="73"/>
      <c r="D2217" s="180" t="s">
        <v>600</v>
      </c>
      <c r="E2217" s="39">
        <v>43595</v>
      </c>
      <c r="F2217" s="179">
        <v>0.37361111111111112</v>
      </c>
      <c r="G2217" s="180">
        <v>24</v>
      </c>
      <c r="H2217" s="180"/>
      <c r="I2217" s="180"/>
      <c r="J2217" s="180"/>
      <c r="K2217" s="180"/>
      <c r="L2217" s="180"/>
      <c r="M2217" s="180"/>
      <c r="N2217" s="180"/>
      <c r="O2217" s="180"/>
      <c r="P2217" s="180"/>
    </row>
    <row r="2218" spans="1:16" x14ac:dyDescent="0.45">
      <c r="A2218" s="180" t="s">
        <v>46</v>
      </c>
      <c r="B2218" s="73">
        <v>3</v>
      </c>
      <c r="C2218" s="73">
        <v>3</v>
      </c>
      <c r="D2218" s="180" t="s">
        <v>600</v>
      </c>
      <c r="E2218" s="39">
        <v>43595</v>
      </c>
      <c r="F2218" s="179">
        <v>0.61249999999999993</v>
      </c>
      <c r="G2218" s="180">
        <v>2</v>
      </c>
      <c r="H2218" s="180" t="s">
        <v>612</v>
      </c>
      <c r="I2218" s="180"/>
      <c r="J2218" s="180"/>
      <c r="K2218" s="180"/>
      <c r="L2218" s="180"/>
      <c r="M2218" s="180"/>
      <c r="N2218" s="180"/>
      <c r="O2218" s="180"/>
      <c r="P2218" s="180"/>
    </row>
    <row r="2219" spans="1:16" x14ac:dyDescent="0.45">
      <c r="A2219" s="180" t="s">
        <v>46</v>
      </c>
      <c r="B2219" s="73">
        <v>2</v>
      </c>
      <c r="C2219" s="73"/>
      <c r="D2219" s="180" t="s">
        <v>600</v>
      </c>
      <c r="E2219" s="39">
        <v>43595</v>
      </c>
      <c r="F2219" s="179">
        <v>0.37361111111111112</v>
      </c>
      <c r="G2219" s="180">
        <v>24</v>
      </c>
      <c r="H2219" s="180"/>
      <c r="I2219" s="180"/>
      <c r="J2219" s="180"/>
      <c r="K2219" s="180"/>
      <c r="L2219" s="180"/>
      <c r="M2219" s="180"/>
      <c r="N2219" s="180"/>
      <c r="O2219" s="180"/>
      <c r="P2219" s="180"/>
    </row>
    <row r="2220" spans="1:16" x14ac:dyDescent="0.45">
      <c r="A2220" s="180" t="s">
        <v>46</v>
      </c>
      <c r="B2220" s="73">
        <v>2</v>
      </c>
      <c r="C2220" s="73"/>
      <c r="D2220" s="180" t="s">
        <v>600</v>
      </c>
      <c r="E2220" s="39">
        <v>43595</v>
      </c>
      <c r="F2220" s="179">
        <v>0.37361111111111112</v>
      </c>
      <c r="G2220" s="180">
        <v>24</v>
      </c>
      <c r="H2220" s="180"/>
      <c r="I2220" s="180"/>
      <c r="J2220" s="180"/>
      <c r="K2220" s="180"/>
      <c r="L2220" s="180"/>
      <c r="M2220" s="180"/>
      <c r="N2220" s="180"/>
      <c r="O2220" s="180"/>
      <c r="P2220" s="180"/>
    </row>
    <row r="2221" spans="1:16" x14ac:dyDescent="0.45">
      <c r="A2221" s="180" t="s">
        <v>46</v>
      </c>
      <c r="B2221" s="73">
        <v>2</v>
      </c>
      <c r="C2221" s="73"/>
      <c r="D2221" s="180" t="s">
        <v>600</v>
      </c>
      <c r="E2221" s="39">
        <v>43595</v>
      </c>
      <c r="F2221" s="179">
        <v>0.37361111111111112</v>
      </c>
      <c r="G2221" s="180">
        <v>24</v>
      </c>
      <c r="H2221" s="180"/>
      <c r="I2221" s="180"/>
      <c r="J2221" s="180"/>
      <c r="K2221" s="180"/>
      <c r="L2221" s="180"/>
      <c r="M2221" s="180"/>
      <c r="N2221" s="180"/>
      <c r="O2221" s="180"/>
      <c r="P2221" s="180"/>
    </row>
    <row r="2222" spans="1:16" x14ac:dyDescent="0.45">
      <c r="A2222" s="180" t="s">
        <v>46</v>
      </c>
      <c r="B2222" s="73">
        <v>2</v>
      </c>
      <c r="C2222" s="73"/>
      <c r="D2222" s="180" t="s">
        <v>600</v>
      </c>
      <c r="E2222" s="39">
        <v>43595</v>
      </c>
      <c r="F2222" s="179">
        <v>0.37361111111111112</v>
      </c>
      <c r="G2222" s="180">
        <v>24</v>
      </c>
      <c r="H2222" s="180"/>
      <c r="I2222" s="180"/>
      <c r="J2222" s="180"/>
      <c r="K2222" s="180"/>
      <c r="L2222" s="180"/>
      <c r="M2222" s="180"/>
      <c r="N2222" s="180"/>
      <c r="O2222" s="180"/>
      <c r="P2222" s="180"/>
    </row>
    <row r="2223" spans="1:16" x14ac:dyDescent="0.45">
      <c r="A2223" s="180" t="s">
        <v>46</v>
      </c>
      <c r="B2223" s="73">
        <v>3</v>
      </c>
      <c r="C2223" s="73"/>
      <c r="D2223" s="180" t="s">
        <v>600</v>
      </c>
      <c r="E2223" s="39">
        <v>43595</v>
      </c>
      <c r="F2223" s="179">
        <v>0.61249999999999993</v>
      </c>
      <c r="G2223" s="180">
        <v>2</v>
      </c>
      <c r="H2223" s="180" t="s">
        <v>612</v>
      </c>
      <c r="I2223" s="180"/>
      <c r="J2223" s="180"/>
      <c r="K2223" s="180"/>
      <c r="L2223" s="180"/>
      <c r="M2223" s="180"/>
      <c r="N2223" s="180"/>
      <c r="O2223" s="180"/>
      <c r="P2223" s="180"/>
    </row>
    <row r="2224" spans="1:16" x14ac:dyDescent="0.45">
      <c r="A2224" s="180" t="s">
        <v>46</v>
      </c>
      <c r="B2224" s="73">
        <v>3</v>
      </c>
      <c r="C2224" s="73"/>
      <c r="D2224" s="180" t="s">
        <v>600</v>
      </c>
      <c r="E2224" s="39">
        <v>43595</v>
      </c>
      <c r="F2224" s="179">
        <v>0.60416666666666663</v>
      </c>
      <c r="G2224" s="180">
        <v>2</v>
      </c>
      <c r="H2224" s="180"/>
      <c r="I2224" s="180"/>
      <c r="J2224" s="180"/>
      <c r="K2224" s="180"/>
      <c r="L2224" s="180"/>
      <c r="M2224" s="180"/>
      <c r="N2224" s="180"/>
      <c r="O2224" s="180"/>
      <c r="P2224" s="180"/>
    </row>
    <row r="2225" spans="1:16" x14ac:dyDescent="0.45">
      <c r="A2225" s="180" t="s">
        <v>46</v>
      </c>
      <c r="B2225" s="73">
        <v>2</v>
      </c>
      <c r="C2225" s="73"/>
      <c r="D2225" s="180" t="s">
        <v>602</v>
      </c>
      <c r="E2225" s="39">
        <v>43595</v>
      </c>
      <c r="F2225" s="179">
        <v>0.43472222222222223</v>
      </c>
      <c r="G2225" s="180">
        <v>1</v>
      </c>
      <c r="H2225" s="180"/>
      <c r="I2225" s="180"/>
      <c r="J2225" s="180"/>
      <c r="K2225" s="180"/>
      <c r="L2225" s="180"/>
      <c r="M2225" s="180"/>
      <c r="N2225" s="180"/>
      <c r="O2225" s="180"/>
      <c r="P2225" s="180"/>
    </row>
    <row r="2226" spans="1:16" x14ac:dyDescent="0.45">
      <c r="A2226" s="180" t="s">
        <v>46</v>
      </c>
      <c r="B2226" s="73">
        <v>1</v>
      </c>
      <c r="C2226" s="73">
        <v>1</v>
      </c>
      <c r="D2226" s="180" t="s">
        <v>600</v>
      </c>
      <c r="E2226" s="39">
        <v>43596</v>
      </c>
      <c r="F2226" s="179">
        <v>0.28125</v>
      </c>
      <c r="G2226" s="180">
        <v>2</v>
      </c>
      <c r="H2226" s="180" t="s">
        <v>613</v>
      </c>
      <c r="I2226" s="180"/>
      <c r="J2226" s="180"/>
      <c r="K2226" s="180"/>
      <c r="L2226" s="180"/>
      <c r="M2226" s="180"/>
      <c r="N2226" s="180"/>
      <c r="O2226" s="180"/>
      <c r="P2226" s="180"/>
    </row>
    <row r="2227" spans="1:16" x14ac:dyDescent="0.45">
      <c r="A2227" s="180" t="s">
        <v>46</v>
      </c>
      <c r="B2227" s="73">
        <v>1</v>
      </c>
      <c r="C2227" s="73"/>
      <c r="D2227" s="180" t="s">
        <v>624</v>
      </c>
      <c r="E2227" s="39">
        <v>43596</v>
      </c>
      <c r="F2227" s="179">
        <v>0.50486111111111109</v>
      </c>
      <c r="G2227" s="180">
        <v>1</v>
      </c>
      <c r="H2227" s="180"/>
      <c r="I2227" s="180"/>
      <c r="J2227" s="180"/>
      <c r="K2227" s="180"/>
      <c r="L2227" s="180"/>
      <c r="M2227" s="180"/>
      <c r="N2227" s="180"/>
      <c r="O2227" s="180"/>
      <c r="P2227" s="180"/>
    </row>
    <row r="2228" spans="1:16" x14ac:dyDescent="0.45">
      <c r="A2228" s="180" t="s">
        <v>46</v>
      </c>
      <c r="B2228" s="73">
        <v>1</v>
      </c>
      <c r="C2228" s="73">
        <v>1</v>
      </c>
      <c r="D2228" s="180" t="s">
        <v>600</v>
      </c>
      <c r="E2228" s="39">
        <v>43600</v>
      </c>
      <c r="F2228" s="179">
        <v>0.68055555555555547</v>
      </c>
      <c r="G2228" s="180">
        <v>2</v>
      </c>
      <c r="H2228" s="180" t="s">
        <v>405</v>
      </c>
      <c r="I2228" s="180" t="s">
        <v>650</v>
      </c>
      <c r="J2228" s="180"/>
      <c r="K2228" s="180"/>
      <c r="L2228" s="180"/>
      <c r="M2228" s="180"/>
      <c r="N2228" s="180"/>
      <c r="O2228" s="180"/>
      <c r="P2228" s="180"/>
    </row>
    <row r="2229" spans="1:16" x14ac:dyDescent="0.45">
      <c r="A2229" s="1" t="s">
        <v>273</v>
      </c>
      <c r="B2229" s="73"/>
      <c r="C2229" s="73">
        <f>SUM(C2217:C2228)</f>
        <v>5</v>
      </c>
      <c r="D2229" s="180"/>
      <c r="E2229" s="39"/>
      <c r="F2229" s="179"/>
      <c r="G2229" s="180"/>
      <c r="H2229" s="180"/>
      <c r="I2229" s="180"/>
      <c r="J2229" s="180"/>
      <c r="K2229" s="180"/>
      <c r="L2229" s="180"/>
      <c r="M2229" s="180"/>
      <c r="N2229" s="180"/>
      <c r="O2229" s="180"/>
      <c r="P2229" s="180"/>
    </row>
    <row r="2230" spans="1:16" x14ac:dyDescent="0.45">
      <c r="A2230" s="180"/>
      <c r="B2230" s="73"/>
      <c r="C2230" s="73"/>
      <c r="D2230" s="180"/>
      <c r="E2230" s="39"/>
      <c r="F2230" s="179"/>
      <c r="G2230" s="180"/>
      <c r="H2230" s="180"/>
      <c r="I2230" s="180"/>
      <c r="J2230" s="180"/>
      <c r="K2230" s="180"/>
      <c r="L2230" s="180"/>
      <c r="M2230" s="180"/>
      <c r="N2230" s="180"/>
      <c r="O2230" s="180"/>
      <c r="P2230" s="180"/>
    </row>
    <row r="2231" spans="1:16" x14ac:dyDescent="0.45">
      <c r="A2231" s="180" t="s">
        <v>1</v>
      </c>
      <c r="B2231" s="73">
        <v>1</v>
      </c>
      <c r="C2231" s="73">
        <v>1</v>
      </c>
      <c r="D2231" s="180" t="s">
        <v>600</v>
      </c>
      <c r="E2231" s="39">
        <v>43583</v>
      </c>
      <c r="F2231" s="179">
        <v>0.42638888888888887</v>
      </c>
      <c r="G2231" s="180">
        <v>5</v>
      </c>
      <c r="H2231" s="180"/>
      <c r="I2231" s="180"/>
      <c r="J2231" s="180"/>
      <c r="K2231" s="180"/>
      <c r="L2231" s="180"/>
      <c r="M2231" s="180"/>
      <c r="N2231" s="180"/>
      <c r="O2231" s="180"/>
      <c r="P2231" s="180"/>
    </row>
    <row r="2232" spans="1:16" x14ac:dyDescent="0.45">
      <c r="A2232" s="180" t="s">
        <v>1</v>
      </c>
      <c r="B2232" s="73">
        <v>1</v>
      </c>
      <c r="C2232" s="73"/>
      <c r="D2232" s="180" t="s">
        <v>602</v>
      </c>
      <c r="E2232" s="39">
        <v>43583</v>
      </c>
      <c r="F2232" s="179">
        <v>0.4375</v>
      </c>
      <c r="G2232" s="180">
        <v>6</v>
      </c>
      <c r="H2232" s="180" t="s">
        <v>619</v>
      </c>
      <c r="I2232" s="180"/>
      <c r="J2232" s="180"/>
      <c r="K2232" s="180"/>
      <c r="L2232" s="180"/>
      <c r="M2232" s="180"/>
      <c r="N2232" s="180"/>
      <c r="O2232" s="180"/>
      <c r="P2232" s="180"/>
    </row>
    <row r="2233" spans="1:16" x14ac:dyDescent="0.45">
      <c r="A2233" s="180" t="s">
        <v>1</v>
      </c>
      <c r="B2233" s="73">
        <v>1</v>
      </c>
      <c r="C2233" s="73">
        <v>1</v>
      </c>
      <c r="D2233" s="180" t="s">
        <v>600</v>
      </c>
      <c r="E2233" s="39">
        <v>43592</v>
      </c>
      <c r="F2233" s="179">
        <v>0.60416666666666663</v>
      </c>
      <c r="G2233" s="180">
        <v>1</v>
      </c>
      <c r="H2233" s="180"/>
      <c r="I2233" s="180"/>
      <c r="J2233" s="180"/>
      <c r="K2233" s="180"/>
      <c r="L2233" s="180"/>
      <c r="M2233" s="180"/>
      <c r="N2233" s="180"/>
      <c r="O2233" s="180"/>
      <c r="P2233" s="180"/>
    </row>
    <row r="2234" spans="1:16" x14ac:dyDescent="0.45">
      <c r="A2234" s="180" t="s">
        <v>1</v>
      </c>
      <c r="B2234" s="73">
        <v>3</v>
      </c>
      <c r="C2234" s="73">
        <v>3</v>
      </c>
      <c r="D2234" s="180" t="s">
        <v>600</v>
      </c>
      <c r="E2234" s="39">
        <v>43593</v>
      </c>
      <c r="F2234" s="179">
        <v>0.79652777777777783</v>
      </c>
      <c r="G2234" s="180">
        <v>1</v>
      </c>
      <c r="H2234" s="180"/>
      <c r="I2234" s="180"/>
      <c r="J2234" s="180"/>
      <c r="K2234" s="180"/>
      <c r="L2234" s="180"/>
      <c r="M2234" s="180"/>
      <c r="N2234" s="180"/>
      <c r="O2234" s="180"/>
      <c r="P2234" s="180"/>
    </row>
    <row r="2235" spans="1:16" x14ac:dyDescent="0.45">
      <c r="A2235" s="180" t="s">
        <v>1</v>
      </c>
      <c r="B2235" s="73">
        <v>1</v>
      </c>
      <c r="C2235" s="73"/>
      <c r="D2235" s="180" t="s">
        <v>602</v>
      </c>
      <c r="E2235" s="39">
        <v>43593</v>
      </c>
      <c r="F2235" s="179">
        <v>0.80208333333333337</v>
      </c>
      <c r="G2235" s="180">
        <v>9</v>
      </c>
      <c r="H2235" s="180" t="s">
        <v>622</v>
      </c>
      <c r="I2235" s="180"/>
      <c r="J2235" s="180"/>
      <c r="K2235" s="180"/>
      <c r="L2235" s="180"/>
      <c r="M2235" s="180"/>
      <c r="N2235" s="180"/>
      <c r="O2235" s="180"/>
      <c r="P2235" s="180"/>
    </row>
    <row r="2236" spans="1:16" x14ac:dyDescent="0.45">
      <c r="A2236" s="180" t="s">
        <v>1</v>
      </c>
      <c r="B2236" s="73">
        <v>2</v>
      </c>
      <c r="C2236" s="73">
        <v>2</v>
      </c>
      <c r="D2236" s="180" t="s">
        <v>600</v>
      </c>
      <c r="E2236" s="39">
        <v>43594</v>
      </c>
      <c r="F2236" s="179">
        <v>0.37222222222222223</v>
      </c>
      <c r="G2236" s="180">
        <v>24</v>
      </c>
      <c r="H2236" s="180"/>
      <c r="I2236" s="180"/>
      <c r="J2236" s="180"/>
      <c r="K2236" s="180"/>
      <c r="L2236" s="180"/>
      <c r="M2236" s="180"/>
      <c r="N2236" s="180"/>
      <c r="O2236" s="180"/>
      <c r="P2236" s="180"/>
    </row>
    <row r="2237" spans="1:16" x14ac:dyDescent="0.45">
      <c r="A2237" s="180" t="s">
        <v>1</v>
      </c>
      <c r="B2237" s="73">
        <v>2</v>
      </c>
      <c r="C2237" s="73"/>
      <c r="D2237" s="180" t="s">
        <v>600</v>
      </c>
      <c r="E2237" s="39">
        <v>43594</v>
      </c>
      <c r="F2237" s="179">
        <v>0.37222222222222223</v>
      </c>
      <c r="G2237" s="180">
        <v>24</v>
      </c>
      <c r="H2237" s="180"/>
      <c r="I2237" s="180"/>
      <c r="J2237" s="180"/>
      <c r="K2237" s="180"/>
      <c r="L2237" s="180"/>
      <c r="M2237" s="180"/>
      <c r="N2237" s="180"/>
      <c r="O2237" s="180"/>
      <c r="P2237" s="180"/>
    </row>
    <row r="2238" spans="1:16" x14ac:dyDescent="0.45">
      <c r="A2238" s="180" t="s">
        <v>1</v>
      </c>
      <c r="B2238" s="73">
        <v>2</v>
      </c>
      <c r="C2238" s="73"/>
      <c r="D2238" s="180" t="s">
        <v>600</v>
      </c>
      <c r="E2238" s="39">
        <v>43594</v>
      </c>
      <c r="F2238" s="179">
        <v>0.37222222222222223</v>
      </c>
      <c r="G2238" s="180">
        <v>24</v>
      </c>
      <c r="H2238" s="180"/>
      <c r="I2238" s="180"/>
      <c r="J2238" s="180"/>
      <c r="K2238" s="180"/>
      <c r="L2238" s="180"/>
      <c r="M2238" s="180"/>
      <c r="N2238" s="180"/>
      <c r="O2238" s="180"/>
      <c r="P2238" s="180"/>
    </row>
    <row r="2239" spans="1:16" x14ac:dyDescent="0.45">
      <c r="A2239" s="180" t="s">
        <v>1</v>
      </c>
      <c r="B2239" s="73">
        <v>2</v>
      </c>
      <c r="C2239" s="73"/>
      <c r="D2239" s="180" t="s">
        <v>600</v>
      </c>
      <c r="E2239" s="39">
        <v>43594</v>
      </c>
      <c r="F2239" s="179">
        <v>0.37222222222222223</v>
      </c>
      <c r="G2239" s="180">
        <v>24</v>
      </c>
      <c r="H2239" s="180"/>
      <c r="I2239" s="180"/>
      <c r="J2239" s="180"/>
      <c r="K2239" s="180"/>
      <c r="L2239" s="180"/>
      <c r="M2239" s="180"/>
      <c r="N2239" s="180"/>
      <c r="O2239" s="180"/>
      <c r="P2239" s="180"/>
    </row>
    <row r="2240" spans="1:16" x14ac:dyDescent="0.45">
      <c r="A2240" s="180" t="s">
        <v>1</v>
      </c>
      <c r="B2240" s="73">
        <v>2</v>
      </c>
      <c r="C2240" s="73"/>
      <c r="D2240" s="180" t="s">
        <v>600</v>
      </c>
      <c r="E2240" s="39">
        <v>43594</v>
      </c>
      <c r="F2240" s="179">
        <v>0.37222222222222223</v>
      </c>
      <c r="G2240" s="180">
        <v>24</v>
      </c>
      <c r="H2240" s="180"/>
      <c r="I2240" s="180"/>
      <c r="J2240" s="180"/>
      <c r="K2240" s="180"/>
      <c r="L2240" s="180"/>
      <c r="M2240" s="180"/>
      <c r="N2240" s="180"/>
      <c r="O2240" s="180"/>
      <c r="P2240" s="180"/>
    </row>
    <row r="2241" spans="1:16" x14ac:dyDescent="0.45">
      <c r="A2241" s="180" t="s">
        <v>1</v>
      </c>
      <c r="B2241" s="73">
        <v>1</v>
      </c>
      <c r="C2241" s="73"/>
      <c r="D2241" s="180" t="s">
        <v>602</v>
      </c>
      <c r="E2241" s="39">
        <v>43594</v>
      </c>
      <c r="F2241" s="179">
        <v>0.5</v>
      </c>
      <c r="G2241" s="180">
        <v>1</v>
      </c>
      <c r="H2241" s="180"/>
      <c r="I2241" s="180"/>
      <c r="J2241" s="180"/>
      <c r="K2241" s="180"/>
      <c r="L2241" s="180"/>
      <c r="M2241" s="180"/>
      <c r="N2241" s="180"/>
      <c r="O2241" s="180"/>
      <c r="P2241" s="180"/>
    </row>
    <row r="2242" spans="1:16" x14ac:dyDescent="0.45">
      <c r="A2242" s="180" t="s">
        <v>1</v>
      </c>
      <c r="B2242" s="73">
        <v>2</v>
      </c>
      <c r="C2242" s="73"/>
      <c r="D2242" s="180" t="s">
        <v>600</v>
      </c>
      <c r="E2242" s="39">
        <v>43595</v>
      </c>
      <c r="F2242" s="179">
        <v>0.37361111111111112</v>
      </c>
      <c r="G2242" s="180">
        <v>24</v>
      </c>
      <c r="H2242" s="180"/>
      <c r="I2242" s="180"/>
      <c r="J2242" s="180"/>
      <c r="K2242" s="180"/>
      <c r="L2242" s="180"/>
      <c r="M2242" s="180"/>
      <c r="N2242" s="180"/>
      <c r="O2242" s="180"/>
      <c r="P2242" s="180"/>
    </row>
    <row r="2243" spans="1:16" x14ac:dyDescent="0.45">
      <c r="A2243" s="180" t="s">
        <v>1</v>
      </c>
      <c r="B2243" s="73">
        <v>2</v>
      </c>
      <c r="C2243" s="73"/>
      <c r="D2243" s="180" t="s">
        <v>600</v>
      </c>
      <c r="E2243" s="39">
        <v>43595</v>
      </c>
      <c r="F2243" s="179">
        <v>0.37361111111111112</v>
      </c>
      <c r="G2243" s="180">
        <v>24</v>
      </c>
      <c r="H2243" s="180"/>
      <c r="I2243" s="180"/>
      <c r="J2243" s="180"/>
      <c r="K2243" s="180"/>
      <c r="L2243" s="180"/>
      <c r="M2243" s="180"/>
      <c r="N2243" s="180"/>
      <c r="O2243" s="180"/>
      <c r="P2243" s="180"/>
    </row>
    <row r="2244" spans="1:16" x14ac:dyDescent="0.45">
      <c r="A2244" s="180" t="s">
        <v>1</v>
      </c>
      <c r="B2244" s="73">
        <v>1</v>
      </c>
      <c r="C2244" s="73"/>
      <c r="D2244" s="180" t="s">
        <v>600</v>
      </c>
      <c r="E2244" s="39">
        <v>43595</v>
      </c>
      <c r="F2244" s="179">
        <v>0.78055555555555556</v>
      </c>
      <c r="G2244" s="180">
        <v>1</v>
      </c>
      <c r="H2244" s="180"/>
      <c r="I2244" s="180"/>
      <c r="J2244" s="180"/>
      <c r="K2244" s="180"/>
      <c r="L2244" s="180"/>
      <c r="M2244" s="180"/>
      <c r="N2244" s="180"/>
      <c r="O2244" s="180"/>
      <c r="P2244" s="180"/>
    </row>
    <row r="2245" spans="1:16" x14ac:dyDescent="0.45">
      <c r="A2245" s="180" t="s">
        <v>1</v>
      </c>
      <c r="B2245" s="73">
        <v>8</v>
      </c>
      <c r="C2245" s="73">
        <v>8</v>
      </c>
      <c r="D2245" s="180" t="s">
        <v>600</v>
      </c>
      <c r="E2245" s="39">
        <v>43595</v>
      </c>
      <c r="F2245" s="179">
        <v>0.51111111111111118</v>
      </c>
      <c r="G2245" s="180">
        <v>1</v>
      </c>
      <c r="H2245" s="180"/>
      <c r="I2245" s="180"/>
      <c r="J2245" s="180"/>
      <c r="K2245" s="180"/>
      <c r="L2245" s="180"/>
      <c r="M2245" s="180"/>
      <c r="N2245" s="180"/>
      <c r="O2245" s="180"/>
      <c r="P2245" s="180"/>
    </row>
    <row r="2246" spans="1:16" x14ac:dyDescent="0.45">
      <c r="A2246" s="180" t="s">
        <v>1</v>
      </c>
      <c r="B2246" s="73">
        <v>2</v>
      </c>
      <c r="C2246" s="73"/>
      <c r="D2246" s="180" t="s">
        <v>600</v>
      </c>
      <c r="E2246" s="39">
        <v>43595</v>
      </c>
      <c r="F2246" s="179">
        <v>0.37361111111111112</v>
      </c>
      <c r="G2246" s="180">
        <v>24</v>
      </c>
      <c r="H2246" s="180"/>
      <c r="I2246" s="180"/>
      <c r="J2246" s="180"/>
      <c r="K2246" s="180"/>
      <c r="L2246" s="180"/>
      <c r="M2246" s="180"/>
      <c r="N2246" s="180"/>
      <c r="O2246" s="180"/>
      <c r="P2246" s="180"/>
    </row>
    <row r="2247" spans="1:16" x14ac:dyDescent="0.45">
      <c r="A2247" s="180" t="s">
        <v>1</v>
      </c>
      <c r="B2247" s="73">
        <v>3</v>
      </c>
      <c r="C2247" s="73"/>
      <c r="D2247" s="180" t="s">
        <v>600</v>
      </c>
      <c r="E2247" s="39">
        <v>43595</v>
      </c>
      <c r="F2247" s="179">
        <v>0.56666666666666665</v>
      </c>
      <c r="G2247" s="180">
        <v>3</v>
      </c>
      <c r="H2247" s="180"/>
      <c r="I2247" s="180"/>
      <c r="J2247" s="180"/>
      <c r="K2247" s="180"/>
      <c r="L2247" s="180"/>
      <c r="M2247" s="180"/>
      <c r="N2247" s="180"/>
      <c r="O2247" s="180"/>
      <c r="P2247" s="180"/>
    </row>
    <row r="2248" spans="1:16" x14ac:dyDescent="0.45">
      <c r="A2248" s="180" t="s">
        <v>1</v>
      </c>
      <c r="B2248" s="73">
        <v>2</v>
      </c>
      <c r="C2248" s="73"/>
      <c r="D2248" s="180" t="s">
        <v>600</v>
      </c>
      <c r="E2248" s="39">
        <v>43595</v>
      </c>
      <c r="F2248" s="179">
        <v>0.37361111111111112</v>
      </c>
      <c r="G2248" s="180">
        <v>24</v>
      </c>
      <c r="H2248" s="180"/>
      <c r="I2248" s="180"/>
      <c r="J2248" s="180"/>
      <c r="K2248" s="180"/>
      <c r="L2248" s="180"/>
      <c r="M2248" s="180"/>
      <c r="N2248" s="180"/>
      <c r="O2248" s="180"/>
      <c r="P2248" s="180"/>
    </row>
    <row r="2249" spans="1:16" x14ac:dyDescent="0.45">
      <c r="A2249" s="180" t="s">
        <v>1</v>
      </c>
      <c r="B2249" s="73">
        <v>2</v>
      </c>
      <c r="C2249" s="73"/>
      <c r="D2249" s="180" t="s">
        <v>600</v>
      </c>
      <c r="E2249" s="39">
        <v>43595</v>
      </c>
      <c r="F2249" s="179">
        <v>0.37361111111111112</v>
      </c>
      <c r="G2249" s="180">
        <v>24</v>
      </c>
      <c r="H2249" s="180"/>
      <c r="I2249" s="180"/>
      <c r="J2249" s="180"/>
      <c r="K2249" s="180"/>
      <c r="L2249" s="180"/>
      <c r="M2249" s="180"/>
      <c r="N2249" s="180"/>
      <c r="O2249" s="180"/>
      <c r="P2249" s="180"/>
    </row>
    <row r="2250" spans="1:16" x14ac:dyDescent="0.45">
      <c r="A2250" s="180" t="s">
        <v>1</v>
      </c>
      <c r="B2250" s="73">
        <v>3</v>
      </c>
      <c r="C2250" s="73"/>
      <c r="D2250" s="180" t="s">
        <v>600</v>
      </c>
      <c r="E2250" s="39">
        <v>43595</v>
      </c>
      <c r="F2250" s="179">
        <v>0.56666666666666665</v>
      </c>
      <c r="G2250" s="180">
        <v>3</v>
      </c>
      <c r="H2250" s="180"/>
      <c r="I2250" s="180"/>
      <c r="J2250" s="180"/>
      <c r="K2250" s="180"/>
      <c r="L2250" s="180"/>
      <c r="M2250" s="180"/>
      <c r="N2250" s="180"/>
      <c r="O2250" s="180"/>
      <c r="P2250" s="180"/>
    </row>
    <row r="2251" spans="1:16" x14ac:dyDescent="0.45">
      <c r="A2251" s="180" t="s">
        <v>1</v>
      </c>
      <c r="B2251" s="73">
        <v>2</v>
      </c>
      <c r="C2251" s="73"/>
      <c r="D2251" s="180" t="s">
        <v>600</v>
      </c>
      <c r="E2251" s="39">
        <v>43595</v>
      </c>
      <c r="F2251" s="179">
        <v>0.37361111111111112</v>
      </c>
      <c r="G2251" s="180">
        <v>24</v>
      </c>
      <c r="H2251" s="180"/>
      <c r="I2251" s="180"/>
      <c r="J2251" s="180"/>
      <c r="K2251" s="180"/>
      <c r="L2251" s="180"/>
      <c r="M2251" s="180"/>
      <c r="N2251" s="180"/>
      <c r="O2251" s="180"/>
      <c r="P2251" s="180"/>
    </row>
    <row r="2252" spans="1:16" x14ac:dyDescent="0.45">
      <c r="A2252" s="180" t="s">
        <v>1</v>
      </c>
      <c r="B2252" s="73">
        <v>3</v>
      </c>
      <c r="C2252" s="73"/>
      <c r="D2252" s="180" t="s">
        <v>600</v>
      </c>
      <c r="E2252" s="39">
        <v>43595</v>
      </c>
      <c r="F2252" s="179">
        <v>0.56666666666666665</v>
      </c>
      <c r="G2252" s="180">
        <v>3</v>
      </c>
      <c r="H2252" s="180"/>
      <c r="I2252" s="180"/>
      <c r="J2252" s="180"/>
      <c r="K2252" s="180"/>
      <c r="L2252" s="180"/>
      <c r="M2252" s="180"/>
      <c r="N2252" s="180"/>
      <c r="O2252" s="180"/>
      <c r="P2252" s="180"/>
    </row>
    <row r="2253" spans="1:16" x14ac:dyDescent="0.45">
      <c r="A2253" s="180" t="s">
        <v>1</v>
      </c>
      <c r="B2253" s="73">
        <v>2</v>
      </c>
      <c r="C2253" s="73"/>
      <c r="D2253" s="180" t="s">
        <v>602</v>
      </c>
      <c r="E2253" s="39">
        <v>43595</v>
      </c>
      <c r="F2253" s="179">
        <v>0.43472222222222223</v>
      </c>
      <c r="G2253" s="180">
        <v>1</v>
      </c>
      <c r="H2253" s="180"/>
      <c r="I2253" s="180"/>
      <c r="J2253" s="180"/>
      <c r="K2253" s="180"/>
      <c r="L2253" s="180"/>
      <c r="M2253" s="180"/>
      <c r="N2253" s="180"/>
      <c r="O2253" s="180"/>
      <c r="P2253" s="180"/>
    </row>
    <row r="2254" spans="1:16" x14ac:dyDescent="0.45">
      <c r="A2254" s="180" t="s">
        <v>1</v>
      </c>
      <c r="B2254" s="73">
        <v>1</v>
      </c>
      <c r="C2254" s="73"/>
      <c r="D2254" s="180" t="s">
        <v>624</v>
      </c>
      <c r="E2254" s="39">
        <v>43596</v>
      </c>
      <c r="F2254" s="179">
        <v>0.50486111111111109</v>
      </c>
      <c r="G2254" s="180">
        <v>1</v>
      </c>
      <c r="H2254" s="180"/>
      <c r="I2254" s="180"/>
      <c r="J2254" s="180"/>
      <c r="K2254" s="180"/>
      <c r="L2254" s="180"/>
      <c r="M2254" s="180"/>
      <c r="N2254" s="180"/>
      <c r="O2254" s="180"/>
      <c r="P2254" s="180"/>
    </row>
    <row r="2255" spans="1:16" x14ac:dyDescent="0.45">
      <c r="A2255" s="180" t="s">
        <v>1</v>
      </c>
      <c r="B2255" s="73">
        <v>1</v>
      </c>
      <c r="C2255" s="73"/>
      <c r="D2255" s="180" t="s">
        <v>600</v>
      </c>
      <c r="E2255" s="39">
        <v>43596</v>
      </c>
      <c r="F2255" s="179">
        <v>0.4458333333333333</v>
      </c>
      <c r="G2255" s="180">
        <v>1</v>
      </c>
      <c r="H2255" s="180"/>
      <c r="I2255" s="180"/>
      <c r="J2255" s="180"/>
      <c r="K2255" s="180"/>
      <c r="L2255" s="180"/>
      <c r="M2255" s="180"/>
      <c r="N2255" s="180"/>
      <c r="O2255" s="180"/>
      <c r="P2255" s="180"/>
    </row>
    <row r="2256" spans="1:16" x14ac:dyDescent="0.45">
      <c r="A2256" s="180" t="s">
        <v>1</v>
      </c>
      <c r="B2256" s="73">
        <v>1</v>
      </c>
      <c r="C2256" s="73"/>
      <c r="D2256" s="180" t="s">
        <v>600</v>
      </c>
      <c r="E2256" s="39">
        <v>43596</v>
      </c>
      <c r="F2256" s="179">
        <v>0.38194444444444442</v>
      </c>
      <c r="G2256" s="180">
        <v>2</v>
      </c>
      <c r="H2256" s="180"/>
      <c r="I2256" s="180"/>
      <c r="J2256" s="180"/>
      <c r="K2256" s="180"/>
      <c r="L2256" s="180"/>
      <c r="M2256" s="180"/>
      <c r="N2256" s="180"/>
      <c r="O2256" s="180"/>
      <c r="P2256" s="180"/>
    </row>
    <row r="2257" spans="1:16" x14ac:dyDescent="0.45">
      <c r="A2257" s="180" t="s">
        <v>1</v>
      </c>
      <c r="B2257" s="73">
        <v>2</v>
      </c>
      <c r="C2257" s="73"/>
      <c r="D2257" s="180" t="s">
        <v>600</v>
      </c>
      <c r="E2257" s="39">
        <v>43596</v>
      </c>
      <c r="F2257" s="179">
        <v>0.38055555555555554</v>
      </c>
      <c r="G2257" s="180">
        <v>20</v>
      </c>
      <c r="H2257" s="180" t="s">
        <v>604</v>
      </c>
      <c r="I2257" s="180"/>
      <c r="J2257" s="180"/>
      <c r="K2257" s="180"/>
      <c r="L2257" s="180"/>
      <c r="M2257" s="180"/>
      <c r="N2257" s="180"/>
      <c r="O2257" s="180"/>
      <c r="P2257" s="180"/>
    </row>
    <row r="2258" spans="1:16" x14ac:dyDescent="0.45">
      <c r="A2258" s="180" t="s">
        <v>1</v>
      </c>
      <c r="B2258" s="73">
        <v>2</v>
      </c>
      <c r="C2258" s="73"/>
      <c r="D2258" s="180" t="s">
        <v>602</v>
      </c>
      <c r="E2258" s="39">
        <v>43596</v>
      </c>
      <c r="F2258" s="179">
        <v>0.33333333333333331</v>
      </c>
      <c r="G2258" s="180">
        <v>2</v>
      </c>
      <c r="H2258" s="180"/>
      <c r="I2258" s="180"/>
      <c r="J2258" s="180"/>
      <c r="K2258" s="180"/>
      <c r="L2258" s="180"/>
      <c r="M2258" s="180"/>
      <c r="N2258" s="180"/>
      <c r="O2258" s="180"/>
      <c r="P2258" s="180"/>
    </row>
    <row r="2259" spans="1:16" x14ac:dyDescent="0.45">
      <c r="A2259" s="180" t="s">
        <v>1</v>
      </c>
      <c r="B2259" s="73">
        <v>4</v>
      </c>
      <c r="C2259" s="73">
        <v>4</v>
      </c>
      <c r="D2259" s="180" t="s">
        <v>602</v>
      </c>
      <c r="E2259" s="39">
        <v>43596</v>
      </c>
      <c r="F2259" s="179">
        <v>0.33749999999999997</v>
      </c>
      <c r="G2259" s="180">
        <v>1</v>
      </c>
      <c r="H2259" s="180"/>
      <c r="I2259" s="180"/>
      <c r="J2259" s="180"/>
      <c r="K2259" s="180"/>
      <c r="L2259" s="180"/>
      <c r="M2259" s="180"/>
      <c r="N2259" s="180"/>
      <c r="O2259" s="180"/>
      <c r="P2259" s="180"/>
    </row>
    <row r="2260" spans="1:16" x14ac:dyDescent="0.45">
      <c r="A2260" s="180" t="s">
        <v>1</v>
      </c>
      <c r="B2260" s="73">
        <v>4</v>
      </c>
      <c r="C2260" s="73"/>
      <c r="D2260" s="180" t="s">
        <v>602</v>
      </c>
      <c r="E2260" s="39">
        <v>43596</v>
      </c>
      <c r="F2260" s="179">
        <v>0.33749999999999997</v>
      </c>
      <c r="G2260" s="180">
        <v>1</v>
      </c>
      <c r="H2260" s="180"/>
      <c r="I2260" s="180"/>
      <c r="J2260" s="180"/>
      <c r="K2260" s="180"/>
      <c r="L2260" s="180"/>
      <c r="M2260" s="180"/>
      <c r="N2260" s="180"/>
      <c r="O2260" s="180"/>
      <c r="P2260" s="180"/>
    </row>
    <row r="2261" spans="1:16" x14ac:dyDescent="0.45">
      <c r="A2261" s="180" t="s">
        <v>1</v>
      </c>
      <c r="B2261" s="73">
        <v>3</v>
      </c>
      <c r="C2261" s="73"/>
      <c r="D2261" s="180" t="s">
        <v>624</v>
      </c>
      <c r="E2261" s="39">
        <v>43596</v>
      </c>
      <c r="F2261" s="179">
        <v>0.50486111111111109</v>
      </c>
      <c r="G2261" s="180">
        <v>1</v>
      </c>
      <c r="H2261" s="180"/>
      <c r="I2261" s="180"/>
      <c r="J2261" s="180"/>
      <c r="K2261" s="180"/>
      <c r="L2261" s="180"/>
      <c r="M2261" s="180"/>
      <c r="N2261" s="180"/>
      <c r="O2261" s="180"/>
      <c r="P2261" s="180"/>
    </row>
    <row r="2262" spans="1:16" x14ac:dyDescent="0.45">
      <c r="A2262" s="180" t="s">
        <v>1</v>
      </c>
      <c r="B2262" s="73">
        <v>14</v>
      </c>
      <c r="C2262" s="73">
        <v>14</v>
      </c>
      <c r="D2262" s="180" t="s">
        <v>600</v>
      </c>
      <c r="E2262" s="39">
        <v>43597</v>
      </c>
      <c r="F2262" s="179">
        <v>0.28819444444444448</v>
      </c>
      <c r="G2262" s="180">
        <v>6</v>
      </c>
      <c r="H2262" s="180" t="s">
        <v>609</v>
      </c>
      <c r="I2262" s="180"/>
      <c r="J2262" s="180"/>
      <c r="K2262" s="180"/>
      <c r="L2262" s="180"/>
      <c r="M2262" s="180"/>
      <c r="N2262" s="180"/>
      <c r="O2262" s="180"/>
      <c r="P2262" s="180"/>
    </row>
    <row r="2263" spans="1:16" x14ac:dyDescent="0.45">
      <c r="A2263" s="180" t="s">
        <v>1</v>
      </c>
      <c r="B2263" s="73">
        <v>3</v>
      </c>
      <c r="C2263" s="73"/>
      <c r="D2263" s="180" t="s">
        <v>600</v>
      </c>
      <c r="E2263" s="39">
        <v>43597</v>
      </c>
      <c r="F2263" s="179">
        <v>0.45763888888888887</v>
      </c>
      <c r="G2263" s="180">
        <v>3</v>
      </c>
      <c r="H2263" s="180"/>
      <c r="I2263" s="180"/>
      <c r="J2263" s="180"/>
      <c r="K2263" s="180"/>
      <c r="L2263" s="180"/>
      <c r="M2263" s="180"/>
      <c r="N2263" s="180"/>
      <c r="O2263" s="180"/>
      <c r="P2263" s="180"/>
    </row>
    <row r="2264" spans="1:16" x14ac:dyDescent="0.45">
      <c r="A2264" s="180" t="s">
        <v>1</v>
      </c>
      <c r="B2264" s="73">
        <v>1</v>
      </c>
      <c r="C2264" s="73"/>
      <c r="D2264" s="180" t="s">
        <v>600</v>
      </c>
      <c r="E2264" s="39">
        <v>43597</v>
      </c>
      <c r="F2264" s="179">
        <v>0.4375</v>
      </c>
      <c r="G2264" s="180">
        <v>4</v>
      </c>
      <c r="H2264" s="180" t="s">
        <v>633</v>
      </c>
      <c r="I2264" s="180"/>
      <c r="J2264" s="180"/>
      <c r="K2264" s="180"/>
      <c r="L2264" s="180"/>
      <c r="M2264" s="180"/>
      <c r="N2264" s="180"/>
      <c r="O2264" s="180"/>
      <c r="P2264" s="180"/>
    </row>
    <row r="2265" spans="1:16" x14ac:dyDescent="0.45">
      <c r="A2265" s="180" t="s">
        <v>1</v>
      </c>
      <c r="B2265" s="73">
        <v>2</v>
      </c>
      <c r="C2265" s="73"/>
      <c r="D2265" s="180" t="s">
        <v>600</v>
      </c>
      <c r="E2265" s="39">
        <v>43597</v>
      </c>
      <c r="F2265" s="179">
        <v>0.4375</v>
      </c>
      <c r="G2265" s="180">
        <v>12</v>
      </c>
      <c r="H2265" s="180" t="s">
        <v>615</v>
      </c>
      <c r="I2265" s="180"/>
      <c r="J2265" s="180"/>
      <c r="K2265" s="180"/>
      <c r="L2265" s="180"/>
      <c r="M2265" s="180"/>
      <c r="N2265" s="180"/>
      <c r="O2265" s="180"/>
      <c r="P2265" s="180"/>
    </row>
    <row r="2266" spans="1:16" x14ac:dyDescent="0.45">
      <c r="A2266" s="180" t="s">
        <v>1</v>
      </c>
      <c r="B2266" s="73">
        <v>3</v>
      </c>
      <c r="C2266" s="73"/>
      <c r="D2266" s="180" t="s">
        <v>626</v>
      </c>
      <c r="E2266" s="39">
        <v>43597</v>
      </c>
      <c r="F2266" s="179">
        <v>0.4548611111111111</v>
      </c>
      <c r="G2266" s="180">
        <v>2</v>
      </c>
      <c r="H2266" s="180"/>
      <c r="I2266" s="180"/>
      <c r="J2266" s="180"/>
      <c r="K2266" s="180"/>
      <c r="L2266" s="180"/>
      <c r="M2266" s="180"/>
      <c r="N2266" s="180"/>
      <c r="O2266" s="180"/>
      <c r="P2266" s="180"/>
    </row>
    <row r="2267" spans="1:16" x14ac:dyDescent="0.45">
      <c r="A2267" s="180" t="s">
        <v>1</v>
      </c>
      <c r="B2267" s="73">
        <v>3</v>
      </c>
      <c r="C2267" s="73">
        <v>3</v>
      </c>
      <c r="D2267" s="180" t="s">
        <v>600</v>
      </c>
      <c r="E2267" s="39">
        <v>43598</v>
      </c>
      <c r="F2267" s="179">
        <v>0.45555555555555555</v>
      </c>
      <c r="G2267" s="180">
        <v>3</v>
      </c>
      <c r="H2267" s="180" t="s">
        <v>627</v>
      </c>
      <c r="I2267" s="180"/>
      <c r="J2267" s="180"/>
      <c r="K2267" s="180"/>
      <c r="L2267" s="180"/>
      <c r="M2267" s="180"/>
      <c r="N2267" s="180"/>
      <c r="O2267" s="180"/>
      <c r="P2267" s="180"/>
    </row>
    <row r="2268" spans="1:16" x14ac:dyDescent="0.45">
      <c r="A2268" s="180" t="s">
        <v>1</v>
      </c>
      <c r="B2268" s="73">
        <v>3</v>
      </c>
      <c r="C2268" s="73"/>
      <c r="D2268" s="180" t="s">
        <v>600</v>
      </c>
      <c r="E2268" s="39">
        <v>43598</v>
      </c>
      <c r="F2268" s="179">
        <v>0.45555555555555555</v>
      </c>
      <c r="G2268" s="180">
        <v>3</v>
      </c>
      <c r="H2268" s="180" t="s">
        <v>627</v>
      </c>
      <c r="I2268" s="180"/>
      <c r="J2268" s="180"/>
      <c r="K2268" s="180"/>
      <c r="L2268" s="180"/>
      <c r="M2268" s="180"/>
      <c r="N2268" s="180"/>
      <c r="O2268" s="180"/>
      <c r="P2268" s="180"/>
    </row>
    <row r="2269" spans="1:16" x14ac:dyDescent="0.45">
      <c r="A2269" s="180" t="s">
        <v>1</v>
      </c>
      <c r="B2269" s="73">
        <v>3</v>
      </c>
      <c r="C2269" s="73"/>
      <c r="D2269" s="180" t="s">
        <v>602</v>
      </c>
      <c r="E2269" s="39">
        <v>43598</v>
      </c>
      <c r="F2269" s="179">
        <v>0.60486111111111118</v>
      </c>
      <c r="G2269" s="180">
        <v>2</v>
      </c>
      <c r="H2269" s="180"/>
      <c r="I2269" s="180"/>
      <c r="J2269" s="180"/>
      <c r="K2269" s="180"/>
      <c r="L2269" s="180"/>
      <c r="M2269" s="180"/>
      <c r="N2269" s="180"/>
      <c r="O2269" s="180"/>
      <c r="P2269" s="180"/>
    </row>
    <row r="2270" spans="1:16" x14ac:dyDescent="0.45">
      <c r="A2270" s="180" t="s">
        <v>1</v>
      </c>
      <c r="B2270" s="73">
        <v>3</v>
      </c>
      <c r="C2270" s="73">
        <v>3</v>
      </c>
      <c r="D2270" s="180" t="s">
        <v>618</v>
      </c>
      <c r="E2270" s="39">
        <v>43599</v>
      </c>
      <c r="F2270" s="179">
        <v>0.59375</v>
      </c>
      <c r="G2270" s="180">
        <v>2</v>
      </c>
      <c r="H2270" s="180"/>
      <c r="I2270" s="180"/>
      <c r="J2270" s="180"/>
      <c r="K2270" s="180"/>
      <c r="L2270" s="180"/>
      <c r="M2270" s="180"/>
      <c r="N2270" s="180"/>
      <c r="O2270" s="180"/>
      <c r="P2270" s="180"/>
    </row>
    <row r="2271" spans="1:16" x14ac:dyDescent="0.45">
      <c r="A2271" s="180" t="s">
        <v>1</v>
      </c>
      <c r="B2271" s="73">
        <v>3</v>
      </c>
      <c r="C2271" s="73"/>
      <c r="D2271" s="180" t="s">
        <v>618</v>
      </c>
      <c r="E2271" s="39">
        <v>43599</v>
      </c>
      <c r="F2271" s="179">
        <v>0.59375</v>
      </c>
      <c r="G2271" s="180">
        <v>2</v>
      </c>
      <c r="H2271" s="180"/>
      <c r="I2271" s="180"/>
      <c r="J2271" s="180"/>
      <c r="K2271" s="180"/>
      <c r="L2271" s="180"/>
      <c r="M2271" s="180"/>
      <c r="N2271" s="180"/>
      <c r="O2271" s="180"/>
      <c r="P2271" s="180"/>
    </row>
    <row r="2272" spans="1:16" x14ac:dyDescent="0.45">
      <c r="A2272" s="180" t="s">
        <v>1</v>
      </c>
      <c r="B2272" s="73">
        <v>4</v>
      </c>
      <c r="C2272" s="73"/>
      <c r="D2272" s="180" t="s">
        <v>618</v>
      </c>
      <c r="E2272" s="39">
        <v>43601</v>
      </c>
      <c r="F2272" s="179">
        <v>0.5131944444444444</v>
      </c>
      <c r="G2272" s="180">
        <v>1</v>
      </c>
      <c r="H2272" s="180"/>
      <c r="I2272" s="180"/>
      <c r="J2272" s="180"/>
      <c r="K2272" s="180"/>
      <c r="L2272" s="180"/>
      <c r="M2272" s="180"/>
      <c r="N2272" s="180"/>
      <c r="O2272" s="180"/>
      <c r="P2272" s="180"/>
    </row>
    <row r="2273" spans="1:16" x14ac:dyDescent="0.45">
      <c r="A2273" s="180" t="s">
        <v>1</v>
      </c>
      <c r="B2273" s="73">
        <v>12</v>
      </c>
      <c r="C2273" s="73">
        <v>12</v>
      </c>
      <c r="D2273" s="180" t="s">
        <v>618</v>
      </c>
      <c r="E2273" s="39">
        <v>43601</v>
      </c>
      <c r="F2273" s="179">
        <v>0.5756944444444444</v>
      </c>
      <c r="G2273" s="180">
        <v>1</v>
      </c>
      <c r="H2273" s="180"/>
      <c r="I2273" s="180"/>
      <c r="J2273" s="180"/>
      <c r="K2273" s="180"/>
      <c r="L2273" s="180"/>
      <c r="M2273" s="180"/>
      <c r="N2273" s="180"/>
      <c r="O2273" s="180"/>
      <c r="P2273" s="180"/>
    </row>
    <row r="2274" spans="1:16" x14ac:dyDescent="0.45">
      <c r="A2274" s="180" t="s">
        <v>1</v>
      </c>
      <c r="B2274" s="73">
        <v>2</v>
      </c>
      <c r="C2274" s="73">
        <v>2</v>
      </c>
      <c r="D2274" s="180" t="s">
        <v>600</v>
      </c>
      <c r="E2274" s="39">
        <v>43603</v>
      </c>
      <c r="F2274" s="179">
        <v>0.70277777777777783</v>
      </c>
      <c r="G2274" s="180">
        <v>5</v>
      </c>
      <c r="H2274" s="180" t="s">
        <v>628</v>
      </c>
      <c r="I2274" s="180"/>
      <c r="J2274" s="180"/>
      <c r="K2274" s="180"/>
      <c r="L2274" s="180"/>
      <c r="M2274" s="180"/>
      <c r="N2274" s="180"/>
      <c r="O2274" s="180"/>
      <c r="P2274" s="180"/>
    </row>
    <row r="2275" spans="1:16" x14ac:dyDescent="0.45">
      <c r="A2275" s="180" t="s">
        <v>1</v>
      </c>
      <c r="B2275" s="73">
        <v>2</v>
      </c>
      <c r="C2275" s="73"/>
      <c r="D2275" s="180" t="s">
        <v>600</v>
      </c>
      <c r="E2275" s="39">
        <v>43603</v>
      </c>
      <c r="F2275" s="179">
        <v>0.70277777777777783</v>
      </c>
      <c r="G2275" s="180">
        <v>5</v>
      </c>
      <c r="H2275" s="180" t="s">
        <v>628</v>
      </c>
      <c r="I2275" s="180"/>
      <c r="J2275" s="180"/>
      <c r="K2275" s="180"/>
      <c r="L2275" s="180"/>
      <c r="M2275" s="180"/>
      <c r="N2275" s="180"/>
      <c r="O2275" s="180"/>
      <c r="P2275" s="180"/>
    </row>
    <row r="2276" spans="1:16" x14ac:dyDescent="0.45">
      <c r="A2276" s="180" t="s">
        <v>1</v>
      </c>
      <c r="B2276" s="73">
        <v>3</v>
      </c>
      <c r="C2276" s="73">
        <v>3</v>
      </c>
      <c r="D2276" s="180" t="s">
        <v>600</v>
      </c>
      <c r="E2276" s="39">
        <v>43605</v>
      </c>
      <c r="F2276" s="179">
        <v>0.67708333333333337</v>
      </c>
      <c r="G2276" s="180">
        <v>1</v>
      </c>
      <c r="H2276" s="180"/>
      <c r="I2276" s="180"/>
      <c r="J2276" s="180"/>
      <c r="K2276" s="180"/>
      <c r="L2276" s="180"/>
      <c r="M2276" s="180"/>
      <c r="N2276" s="180"/>
      <c r="O2276" s="180"/>
      <c r="P2276" s="180"/>
    </row>
    <row r="2277" spans="1:16" x14ac:dyDescent="0.45">
      <c r="A2277" s="1" t="s">
        <v>273</v>
      </c>
      <c r="B2277" s="73"/>
      <c r="C2277" s="73">
        <f>SUM(C2231:C2276)</f>
        <v>56</v>
      </c>
      <c r="D2277" s="180"/>
      <c r="E2277" s="39"/>
      <c r="F2277" s="179"/>
      <c r="G2277" s="180"/>
      <c r="H2277" s="180"/>
      <c r="I2277" s="180"/>
      <c r="J2277" s="180"/>
      <c r="K2277" s="180"/>
      <c r="L2277" s="180"/>
      <c r="M2277" s="180"/>
      <c r="N2277" s="180"/>
      <c r="O2277" s="180"/>
      <c r="P2277" s="180"/>
    </row>
    <row r="2278" spans="1:16" x14ac:dyDescent="0.45">
      <c r="A2278" s="180"/>
      <c r="B2278" s="73"/>
      <c r="C2278" s="73"/>
      <c r="D2278" s="180"/>
      <c r="E2278" s="39"/>
      <c r="F2278" s="179"/>
      <c r="G2278" s="180"/>
      <c r="H2278" s="180"/>
      <c r="I2278" s="180"/>
      <c r="J2278" s="180"/>
      <c r="K2278" s="180"/>
      <c r="L2278" s="180"/>
      <c r="M2278" s="180"/>
      <c r="N2278" s="180"/>
      <c r="O2278" s="180"/>
      <c r="P2278" s="180"/>
    </row>
    <row r="2279" spans="1:16" x14ac:dyDescent="0.45">
      <c r="A2279" s="180" t="s">
        <v>32</v>
      </c>
      <c r="B2279" s="73">
        <v>4</v>
      </c>
      <c r="C2279" s="73">
        <v>4</v>
      </c>
      <c r="D2279" s="180" t="s">
        <v>600</v>
      </c>
      <c r="E2279" s="39">
        <v>43595</v>
      </c>
      <c r="F2279" s="179">
        <v>0.51111111111111118</v>
      </c>
      <c r="G2279" s="180">
        <v>1</v>
      </c>
      <c r="H2279" s="180"/>
      <c r="I2279" s="180"/>
      <c r="J2279" s="180"/>
      <c r="K2279" s="180"/>
      <c r="L2279" s="180"/>
      <c r="M2279" s="180"/>
      <c r="N2279" s="180"/>
      <c r="O2279" s="180"/>
      <c r="P2279" s="180"/>
    </row>
    <row r="2280" spans="1:16" x14ac:dyDescent="0.45">
      <c r="A2280" s="180" t="s">
        <v>32</v>
      </c>
      <c r="B2280" s="73">
        <v>3</v>
      </c>
      <c r="C2280" s="73">
        <v>3</v>
      </c>
      <c r="D2280" s="180" t="s">
        <v>624</v>
      </c>
      <c r="E2280" s="39">
        <v>43596</v>
      </c>
      <c r="F2280" s="179">
        <v>0.50486111111111109</v>
      </c>
      <c r="G2280" s="180">
        <v>1</v>
      </c>
      <c r="H2280" s="180"/>
      <c r="I2280" s="180"/>
      <c r="J2280" s="180"/>
      <c r="K2280" s="180"/>
      <c r="L2280" s="180"/>
      <c r="M2280" s="180"/>
      <c r="N2280" s="180"/>
      <c r="O2280" s="180"/>
      <c r="P2280" s="180"/>
    </row>
    <row r="2281" spans="1:16" x14ac:dyDescent="0.45">
      <c r="A2281" s="180" t="s">
        <v>32</v>
      </c>
      <c r="B2281" s="73">
        <v>1</v>
      </c>
      <c r="C2281" s="73"/>
      <c r="D2281" s="180" t="s">
        <v>600</v>
      </c>
      <c r="E2281" s="39">
        <v>43596</v>
      </c>
      <c r="F2281" s="179">
        <v>0.44166666666666665</v>
      </c>
      <c r="G2281" s="180">
        <v>20</v>
      </c>
      <c r="H2281" s="180"/>
      <c r="I2281" s="180"/>
      <c r="J2281" s="180"/>
      <c r="K2281" s="180"/>
      <c r="L2281" s="180"/>
      <c r="M2281" s="180"/>
      <c r="N2281" s="180"/>
      <c r="O2281" s="180"/>
      <c r="P2281" s="180"/>
    </row>
    <row r="2282" spans="1:16" x14ac:dyDescent="0.45">
      <c r="A2282" s="180" t="s">
        <v>32</v>
      </c>
      <c r="B2282" s="73">
        <v>1</v>
      </c>
      <c r="C2282" s="73"/>
      <c r="D2282" s="180" t="s">
        <v>602</v>
      </c>
      <c r="E2282" s="39">
        <v>43596</v>
      </c>
      <c r="F2282" s="179">
        <v>0.33749999999999997</v>
      </c>
      <c r="G2282" s="180">
        <v>1</v>
      </c>
      <c r="H2282" s="180"/>
      <c r="I2282" s="180"/>
      <c r="J2282" s="180"/>
      <c r="K2282" s="180"/>
      <c r="L2282" s="180"/>
      <c r="M2282" s="180"/>
      <c r="N2282" s="180"/>
      <c r="O2282" s="180"/>
      <c r="P2282" s="180"/>
    </row>
    <row r="2283" spans="1:16" x14ac:dyDescent="0.45">
      <c r="A2283" s="180" t="s">
        <v>32</v>
      </c>
      <c r="B2283" s="73">
        <v>1</v>
      </c>
      <c r="C2283" s="73"/>
      <c r="D2283" s="180" t="s">
        <v>602</v>
      </c>
      <c r="E2283" s="39">
        <v>43596</v>
      </c>
      <c r="F2283" s="179">
        <v>0.33749999999999997</v>
      </c>
      <c r="G2283" s="180">
        <v>1</v>
      </c>
      <c r="H2283" s="180"/>
      <c r="I2283" s="180"/>
      <c r="J2283" s="180"/>
      <c r="K2283" s="180"/>
      <c r="L2283" s="180"/>
      <c r="M2283" s="180"/>
      <c r="N2283" s="180"/>
      <c r="O2283" s="180"/>
      <c r="P2283" s="180"/>
    </row>
    <row r="2284" spans="1:16" x14ac:dyDescent="0.45">
      <c r="A2284" s="180" t="s">
        <v>32</v>
      </c>
      <c r="B2284" s="73">
        <v>1</v>
      </c>
      <c r="C2284" s="73"/>
      <c r="D2284" s="180" t="s">
        <v>625</v>
      </c>
      <c r="E2284" s="39">
        <v>43597</v>
      </c>
      <c r="F2284" s="179">
        <v>0.43958333333333338</v>
      </c>
      <c r="G2284" s="180">
        <v>2</v>
      </c>
      <c r="H2284" s="180"/>
      <c r="I2284" s="180"/>
      <c r="J2284" s="180"/>
      <c r="K2284" s="180"/>
      <c r="L2284" s="180"/>
      <c r="M2284" s="180"/>
      <c r="N2284" s="180"/>
      <c r="O2284" s="180"/>
      <c r="P2284" s="180"/>
    </row>
    <row r="2285" spans="1:16" x14ac:dyDescent="0.45">
      <c r="A2285" s="180" t="s">
        <v>32</v>
      </c>
      <c r="B2285" s="73">
        <v>2</v>
      </c>
      <c r="C2285" s="73"/>
      <c r="D2285" s="180" t="s">
        <v>600</v>
      </c>
      <c r="E2285" s="39">
        <v>43597</v>
      </c>
      <c r="F2285" s="179">
        <v>0.4375</v>
      </c>
      <c r="G2285" s="180">
        <v>4</v>
      </c>
      <c r="H2285" s="180" t="s">
        <v>633</v>
      </c>
      <c r="I2285" s="180"/>
      <c r="J2285" s="180"/>
      <c r="K2285" s="180"/>
      <c r="L2285" s="180"/>
      <c r="M2285" s="180"/>
      <c r="N2285" s="180"/>
      <c r="O2285" s="180"/>
      <c r="P2285" s="180"/>
    </row>
    <row r="2286" spans="1:16" x14ac:dyDescent="0.45">
      <c r="A2286" s="180" t="s">
        <v>32</v>
      </c>
      <c r="B2286" s="73">
        <v>6</v>
      </c>
      <c r="C2286" s="73">
        <v>6</v>
      </c>
      <c r="D2286" s="180" t="s">
        <v>626</v>
      </c>
      <c r="E2286" s="39">
        <v>43597</v>
      </c>
      <c r="F2286" s="179">
        <v>0.4548611111111111</v>
      </c>
      <c r="G2286" s="180">
        <v>2</v>
      </c>
      <c r="H2286" s="180"/>
      <c r="I2286" s="180"/>
      <c r="J2286" s="180"/>
      <c r="K2286" s="180"/>
      <c r="L2286" s="180"/>
      <c r="M2286" s="180"/>
      <c r="N2286" s="180"/>
      <c r="O2286" s="180"/>
      <c r="P2286" s="180"/>
    </row>
    <row r="2287" spans="1:16" x14ac:dyDescent="0.45">
      <c r="A2287" s="180" t="s">
        <v>32</v>
      </c>
      <c r="B2287" s="73">
        <v>1</v>
      </c>
      <c r="C2287" s="73"/>
      <c r="D2287" s="180" t="s">
        <v>631</v>
      </c>
      <c r="E2287" s="39">
        <v>43597</v>
      </c>
      <c r="F2287" s="179">
        <v>0.43402777777777773</v>
      </c>
      <c r="G2287" s="180">
        <v>2</v>
      </c>
      <c r="H2287" s="180"/>
      <c r="I2287" s="180"/>
      <c r="J2287" s="180"/>
      <c r="K2287" s="180"/>
      <c r="L2287" s="180"/>
      <c r="M2287" s="180"/>
      <c r="N2287" s="180"/>
      <c r="O2287" s="180"/>
      <c r="P2287" s="180"/>
    </row>
    <row r="2288" spans="1:16" x14ac:dyDescent="0.45">
      <c r="A2288" s="180" t="s">
        <v>32</v>
      </c>
      <c r="B2288" s="73">
        <v>1</v>
      </c>
      <c r="C2288" s="73">
        <v>1</v>
      </c>
      <c r="D2288" s="180" t="s">
        <v>635</v>
      </c>
      <c r="E2288" s="39">
        <v>43608</v>
      </c>
      <c r="F2288" s="179">
        <v>0.92222222222222217</v>
      </c>
      <c r="G2288" s="180">
        <v>3</v>
      </c>
      <c r="H2288" s="180" t="s">
        <v>636</v>
      </c>
      <c r="I2288" s="180"/>
      <c r="J2288" s="180"/>
      <c r="K2288" s="180"/>
      <c r="L2288" s="180"/>
      <c r="M2288" s="180"/>
      <c r="N2288" s="180"/>
      <c r="O2288" s="180"/>
      <c r="P2288" s="180"/>
    </row>
    <row r="2289" spans="1:16" x14ac:dyDescent="0.45">
      <c r="A2289" s="180" t="s">
        <v>32</v>
      </c>
      <c r="B2289" s="73">
        <v>1</v>
      </c>
      <c r="C2289" s="73"/>
      <c r="D2289" s="180" t="s">
        <v>635</v>
      </c>
      <c r="E2289" s="39">
        <v>43608</v>
      </c>
      <c r="F2289" s="179">
        <v>0.92222222222222217</v>
      </c>
      <c r="G2289" s="180">
        <v>3</v>
      </c>
      <c r="H2289" s="180" t="s">
        <v>636</v>
      </c>
      <c r="I2289" s="180"/>
      <c r="J2289" s="180"/>
      <c r="K2289" s="180"/>
      <c r="L2289" s="180"/>
      <c r="M2289" s="180"/>
      <c r="N2289" s="180"/>
      <c r="O2289" s="180"/>
      <c r="P2289" s="180"/>
    </row>
    <row r="2290" spans="1:16" x14ac:dyDescent="0.45">
      <c r="A2290" s="1" t="s">
        <v>273</v>
      </c>
      <c r="B2290" s="73"/>
      <c r="C2290" s="73">
        <f>SUM(C2279:C2289)</f>
        <v>14</v>
      </c>
      <c r="D2290" s="180"/>
      <c r="E2290" s="39"/>
      <c r="F2290" s="179"/>
      <c r="G2290" s="180"/>
      <c r="H2290" s="180"/>
      <c r="I2290" s="180"/>
      <c r="J2290" s="180"/>
      <c r="K2290" s="180"/>
      <c r="L2290" s="180"/>
      <c r="M2290" s="180"/>
      <c r="N2290" s="180"/>
      <c r="O2290" s="180"/>
      <c r="P2290" s="180"/>
    </row>
    <row r="2291" spans="1:16" x14ac:dyDescent="0.45">
      <c r="A2291" s="180"/>
      <c r="B2291" s="73"/>
      <c r="C2291" s="73"/>
      <c r="D2291" s="180"/>
      <c r="E2291" s="39"/>
      <c r="F2291" s="179"/>
      <c r="G2291" s="180"/>
      <c r="H2291" s="180"/>
      <c r="I2291" s="180"/>
      <c r="J2291" s="180"/>
      <c r="K2291" s="180"/>
      <c r="L2291" s="180"/>
      <c r="M2291" s="180"/>
      <c r="N2291" s="180"/>
      <c r="O2291" s="180"/>
      <c r="P2291" s="180"/>
    </row>
    <row r="2292" spans="1:16" x14ac:dyDescent="0.45">
      <c r="A2292" s="180" t="s">
        <v>15</v>
      </c>
      <c r="B2292" s="73">
        <v>1</v>
      </c>
      <c r="C2292" s="73">
        <v>1</v>
      </c>
      <c r="D2292" s="180" t="s">
        <v>600</v>
      </c>
      <c r="E2292" s="39">
        <v>43593</v>
      </c>
      <c r="F2292" s="179">
        <v>0.79652777777777783</v>
      </c>
      <c r="G2292" s="180">
        <v>1</v>
      </c>
      <c r="H2292" s="180"/>
      <c r="I2292" s="180"/>
      <c r="J2292" s="180"/>
      <c r="K2292" s="180"/>
      <c r="L2292" s="180"/>
      <c r="M2292" s="180"/>
      <c r="N2292" s="180"/>
      <c r="O2292" s="180"/>
      <c r="P2292" s="180"/>
    </row>
    <row r="2293" spans="1:16" x14ac:dyDescent="0.45">
      <c r="A2293" s="180" t="s">
        <v>15</v>
      </c>
      <c r="B2293" s="73">
        <v>1</v>
      </c>
      <c r="C2293" s="73"/>
      <c r="D2293" s="180" t="s">
        <v>602</v>
      </c>
      <c r="E2293" s="39">
        <v>43593</v>
      </c>
      <c r="F2293" s="179">
        <v>0.80208333333333337</v>
      </c>
      <c r="G2293" s="180">
        <v>9</v>
      </c>
      <c r="H2293" s="180" t="s">
        <v>622</v>
      </c>
      <c r="I2293" s="180"/>
      <c r="J2293" s="180"/>
      <c r="K2293" s="180"/>
      <c r="L2293" s="180"/>
      <c r="M2293" s="180"/>
      <c r="N2293" s="180"/>
      <c r="O2293" s="180"/>
      <c r="P2293" s="180"/>
    </row>
    <row r="2294" spans="1:16" x14ac:dyDescent="0.45">
      <c r="A2294" s="180" t="s">
        <v>15</v>
      </c>
      <c r="B2294" s="73">
        <v>1</v>
      </c>
      <c r="C2294" s="73"/>
      <c r="D2294" s="180" t="s">
        <v>600</v>
      </c>
      <c r="E2294" s="39">
        <v>43595</v>
      </c>
      <c r="F2294" s="179">
        <v>0.37361111111111112</v>
      </c>
      <c r="G2294" s="180">
        <v>24</v>
      </c>
      <c r="H2294" s="180"/>
      <c r="I2294" s="180"/>
      <c r="J2294" s="180"/>
      <c r="K2294" s="180"/>
      <c r="L2294" s="180"/>
      <c r="M2294" s="180"/>
      <c r="N2294" s="180"/>
      <c r="O2294" s="180"/>
      <c r="P2294" s="180"/>
    </row>
    <row r="2295" spans="1:16" x14ac:dyDescent="0.45">
      <c r="A2295" s="180" t="s">
        <v>15</v>
      </c>
      <c r="B2295" s="73">
        <v>6</v>
      </c>
      <c r="C2295" s="73">
        <v>6</v>
      </c>
      <c r="D2295" s="180" t="s">
        <v>600</v>
      </c>
      <c r="E2295" s="39">
        <v>43595</v>
      </c>
      <c r="F2295" s="179">
        <v>0.61249999999999993</v>
      </c>
      <c r="G2295" s="180">
        <v>2</v>
      </c>
      <c r="H2295" s="180" t="s">
        <v>612</v>
      </c>
      <c r="I2295" s="180"/>
      <c r="J2295" s="180"/>
      <c r="K2295" s="180"/>
      <c r="L2295" s="180"/>
      <c r="M2295" s="180"/>
      <c r="N2295" s="180"/>
      <c r="O2295" s="180"/>
      <c r="P2295" s="180"/>
    </row>
    <row r="2296" spans="1:16" x14ac:dyDescent="0.45">
      <c r="A2296" s="180" t="s">
        <v>15</v>
      </c>
      <c r="B2296" s="73">
        <v>1</v>
      </c>
      <c r="C2296" s="73"/>
      <c r="D2296" s="180" t="s">
        <v>600</v>
      </c>
      <c r="E2296" s="39">
        <v>43595</v>
      </c>
      <c r="F2296" s="179">
        <v>0.37361111111111112</v>
      </c>
      <c r="G2296" s="180">
        <v>24</v>
      </c>
      <c r="H2296" s="180"/>
      <c r="I2296" s="180"/>
      <c r="J2296" s="180"/>
      <c r="K2296" s="180"/>
      <c r="L2296" s="180"/>
      <c r="M2296" s="180"/>
      <c r="N2296" s="180"/>
      <c r="O2296" s="180"/>
      <c r="P2296" s="180"/>
    </row>
    <row r="2297" spans="1:16" x14ac:dyDescent="0.45">
      <c r="A2297" s="180" t="s">
        <v>15</v>
      </c>
      <c r="B2297" s="73">
        <v>1</v>
      </c>
      <c r="C2297" s="73"/>
      <c r="D2297" s="180" t="s">
        <v>600</v>
      </c>
      <c r="E2297" s="39">
        <v>43595</v>
      </c>
      <c r="F2297" s="179">
        <v>0.37361111111111112</v>
      </c>
      <c r="G2297" s="180">
        <v>24</v>
      </c>
      <c r="H2297" s="180"/>
      <c r="I2297" s="180"/>
      <c r="J2297" s="180"/>
      <c r="K2297" s="180"/>
      <c r="L2297" s="180"/>
      <c r="M2297" s="180"/>
      <c r="N2297" s="180"/>
      <c r="O2297" s="180"/>
      <c r="P2297" s="180"/>
    </row>
    <row r="2298" spans="1:16" x14ac:dyDescent="0.45">
      <c r="A2298" s="180" t="s">
        <v>15</v>
      </c>
      <c r="B2298" s="73">
        <v>6</v>
      </c>
      <c r="C2298" s="73"/>
      <c r="D2298" s="180" t="s">
        <v>600</v>
      </c>
      <c r="E2298" s="39">
        <v>43595</v>
      </c>
      <c r="F2298" s="179">
        <v>0.61249999999999993</v>
      </c>
      <c r="G2298" s="180">
        <v>2</v>
      </c>
      <c r="H2298" s="180" t="s">
        <v>612</v>
      </c>
      <c r="I2298" s="180"/>
      <c r="J2298" s="180"/>
      <c r="K2298" s="180"/>
      <c r="L2298" s="180"/>
      <c r="M2298" s="180"/>
      <c r="N2298" s="180"/>
      <c r="O2298" s="180"/>
      <c r="P2298" s="180"/>
    </row>
    <row r="2299" spans="1:16" x14ac:dyDescent="0.45">
      <c r="A2299" s="180" t="s">
        <v>15</v>
      </c>
      <c r="B2299" s="73">
        <v>1</v>
      </c>
      <c r="C2299" s="73"/>
      <c r="D2299" s="180" t="s">
        <v>600</v>
      </c>
      <c r="E2299" s="39">
        <v>43595</v>
      </c>
      <c r="F2299" s="179">
        <v>0.37361111111111112</v>
      </c>
      <c r="G2299" s="180">
        <v>24</v>
      </c>
      <c r="H2299" s="180"/>
      <c r="I2299" s="180"/>
      <c r="J2299" s="180"/>
      <c r="K2299" s="180"/>
      <c r="L2299" s="180"/>
      <c r="M2299" s="180"/>
      <c r="N2299" s="180"/>
      <c r="O2299" s="180"/>
      <c r="P2299" s="180"/>
    </row>
    <row r="2300" spans="1:16" x14ac:dyDescent="0.45">
      <c r="A2300" s="180" t="s">
        <v>15</v>
      </c>
      <c r="B2300" s="73">
        <v>1</v>
      </c>
      <c r="C2300" s="73"/>
      <c r="D2300" s="180" t="s">
        <v>600</v>
      </c>
      <c r="E2300" s="39">
        <v>43595</v>
      </c>
      <c r="F2300" s="179">
        <v>0.37361111111111112</v>
      </c>
      <c r="G2300" s="180">
        <v>24</v>
      </c>
      <c r="H2300" s="180"/>
      <c r="I2300" s="180"/>
      <c r="J2300" s="180"/>
      <c r="K2300" s="180"/>
      <c r="L2300" s="180"/>
      <c r="M2300" s="180"/>
      <c r="N2300" s="180"/>
      <c r="O2300" s="180"/>
      <c r="P2300" s="180"/>
    </row>
    <row r="2301" spans="1:16" x14ac:dyDescent="0.45">
      <c r="A2301" s="180" t="s">
        <v>15</v>
      </c>
      <c r="B2301" s="73">
        <v>4</v>
      </c>
      <c r="C2301" s="73"/>
      <c r="D2301" s="180" t="s">
        <v>600</v>
      </c>
      <c r="E2301" s="39">
        <v>43595</v>
      </c>
      <c r="F2301" s="179">
        <v>0.64583333333333337</v>
      </c>
      <c r="G2301" s="180">
        <v>4</v>
      </c>
      <c r="H2301" s="180" t="s">
        <v>623</v>
      </c>
      <c r="I2301" s="180"/>
      <c r="J2301" s="180"/>
      <c r="K2301" s="180"/>
      <c r="L2301" s="180"/>
      <c r="M2301" s="180"/>
      <c r="N2301" s="180"/>
      <c r="O2301" s="180"/>
      <c r="P2301" s="180"/>
    </row>
    <row r="2302" spans="1:16" x14ac:dyDescent="0.45">
      <c r="A2302" s="180" t="s">
        <v>15</v>
      </c>
      <c r="B2302" s="73">
        <v>1</v>
      </c>
      <c r="C2302" s="73"/>
      <c r="D2302" s="180" t="s">
        <v>600</v>
      </c>
      <c r="E2302" s="39">
        <v>43595</v>
      </c>
      <c r="F2302" s="179">
        <v>0.51111111111111118</v>
      </c>
      <c r="G2302" s="180">
        <v>1</v>
      </c>
      <c r="H2302" s="180"/>
      <c r="I2302" s="180"/>
      <c r="J2302" s="180"/>
      <c r="K2302" s="180"/>
      <c r="L2302" s="180"/>
      <c r="M2302" s="180"/>
      <c r="N2302" s="180"/>
      <c r="O2302" s="180"/>
      <c r="P2302" s="180"/>
    </row>
    <row r="2303" spans="1:16" x14ac:dyDescent="0.45">
      <c r="A2303" s="180" t="s">
        <v>15</v>
      </c>
      <c r="B2303" s="73">
        <v>1</v>
      </c>
      <c r="C2303" s="73"/>
      <c r="D2303" s="180" t="s">
        <v>600</v>
      </c>
      <c r="E2303" s="39">
        <v>43595</v>
      </c>
      <c r="F2303" s="179">
        <v>0.37361111111111112</v>
      </c>
      <c r="G2303" s="180">
        <v>24</v>
      </c>
      <c r="H2303" s="180"/>
      <c r="I2303" s="180"/>
      <c r="J2303" s="180"/>
      <c r="K2303" s="180"/>
      <c r="L2303" s="180"/>
      <c r="M2303" s="180"/>
      <c r="N2303" s="180"/>
      <c r="O2303" s="180"/>
      <c r="P2303" s="180"/>
    </row>
    <row r="2304" spans="1:16" x14ac:dyDescent="0.45">
      <c r="A2304" s="180" t="s">
        <v>15</v>
      </c>
      <c r="B2304" s="73">
        <v>5</v>
      </c>
      <c r="C2304" s="73"/>
      <c r="D2304" s="180" t="s">
        <v>600</v>
      </c>
      <c r="E2304" s="39">
        <v>43595</v>
      </c>
      <c r="F2304" s="179">
        <v>0.78055555555555556</v>
      </c>
      <c r="G2304" s="180">
        <v>1</v>
      </c>
      <c r="H2304" s="180"/>
      <c r="I2304" s="180"/>
      <c r="J2304" s="180"/>
      <c r="K2304" s="180"/>
      <c r="L2304" s="180"/>
      <c r="M2304" s="180"/>
      <c r="N2304" s="180"/>
      <c r="O2304" s="180"/>
      <c r="P2304" s="180"/>
    </row>
    <row r="2305" spans="1:16" x14ac:dyDescent="0.45">
      <c r="A2305" s="180" t="s">
        <v>15</v>
      </c>
      <c r="B2305" s="73">
        <v>3</v>
      </c>
      <c r="C2305" s="73"/>
      <c r="D2305" s="180" t="s">
        <v>600</v>
      </c>
      <c r="E2305" s="39">
        <v>43595</v>
      </c>
      <c r="F2305" s="179">
        <v>0.66180555555555554</v>
      </c>
      <c r="G2305" s="180">
        <v>3</v>
      </c>
      <c r="H2305" s="180"/>
      <c r="I2305" s="180"/>
      <c r="J2305" s="180"/>
      <c r="K2305" s="180"/>
      <c r="L2305" s="180"/>
      <c r="M2305" s="180"/>
      <c r="N2305" s="180"/>
      <c r="O2305" s="180"/>
      <c r="P2305" s="180"/>
    </row>
    <row r="2306" spans="1:16" x14ac:dyDescent="0.45">
      <c r="A2306" s="180" t="s">
        <v>15</v>
      </c>
      <c r="B2306" s="73">
        <v>2</v>
      </c>
      <c r="C2306" s="73"/>
      <c r="D2306" s="180" t="s">
        <v>602</v>
      </c>
      <c r="E2306" s="39">
        <v>43595</v>
      </c>
      <c r="F2306" s="179">
        <v>0.43472222222222223</v>
      </c>
      <c r="G2306" s="180">
        <v>1</v>
      </c>
      <c r="H2306" s="180"/>
      <c r="I2306" s="180"/>
      <c r="J2306" s="180"/>
      <c r="K2306" s="180"/>
      <c r="L2306" s="180"/>
      <c r="M2306" s="180"/>
      <c r="N2306" s="180"/>
      <c r="O2306" s="180"/>
      <c r="P2306" s="180"/>
    </row>
    <row r="2307" spans="1:16" x14ac:dyDescent="0.45">
      <c r="A2307" s="180" t="s">
        <v>15</v>
      </c>
      <c r="B2307" s="73">
        <v>15</v>
      </c>
      <c r="C2307" s="73"/>
      <c r="D2307" s="180" t="s">
        <v>602</v>
      </c>
      <c r="E2307" s="39">
        <v>43595</v>
      </c>
      <c r="F2307" s="179">
        <v>0.64861111111111114</v>
      </c>
      <c r="G2307" s="180">
        <v>3</v>
      </c>
      <c r="H2307" s="180"/>
      <c r="I2307" s="180"/>
      <c r="J2307" s="180"/>
      <c r="K2307" s="180"/>
      <c r="L2307" s="180"/>
      <c r="M2307" s="180"/>
      <c r="N2307" s="180"/>
      <c r="O2307" s="180"/>
      <c r="P2307" s="180"/>
    </row>
    <row r="2308" spans="1:16" x14ac:dyDescent="0.45">
      <c r="A2308" s="180" t="s">
        <v>15</v>
      </c>
      <c r="B2308" s="73">
        <v>4</v>
      </c>
      <c r="C2308" s="73"/>
      <c r="D2308" s="180" t="s">
        <v>600</v>
      </c>
      <c r="E2308" s="39">
        <v>43595</v>
      </c>
      <c r="F2308" s="179">
        <v>0.56666666666666665</v>
      </c>
      <c r="G2308" s="180">
        <v>3</v>
      </c>
      <c r="H2308" s="180"/>
      <c r="I2308" s="180"/>
      <c r="J2308" s="180"/>
      <c r="K2308" s="180"/>
      <c r="L2308" s="180"/>
      <c r="M2308" s="180"/>
      <c r="N2308" s="180"/>
      <c r="O2308" s="180"/>
      <c r="P2308" s="180"/>
    </row>
    <row r="2309" spans="1:16" x14ac:dyDescent="0.45">
      <c r="A2309" s="180" t="s">
        <v>15</v>
      </c>
      <c r="B2309" s="73">
        <v>1</v>
      </c>
      <c r="C2309" s="73"/>
      <c r="D2309" s="180" t="s">
        <v>624</v>
      </c>
      <c r="E2309" s="39">
        <v>43596</v>
      </c>
      <c r="F2309" s="179">
        <v>0.50486111111111109</v>
      </c>
      <c r="G2309" s="180">
        <v>1</v>
      </c>
      <c r="H2309" s="180"/>
      <c r="I2309" s="180"/>
      <c r="J2309" s="180"/>
      <c r="K2309" s="180"/>
      <c r="L2309" s="180"/>
      <c r="M2309" s="180"/>
      <c r="N2309" s="180"/>
      <c r="O2309" s="180"/>
      <c r="P2309" s="180"/>
    </row>
    <row r="2310" spans="1:16" x14ac:dyDescent="0.45">
      <c r="A2310" s="180" t="s">
        <v>15</v>
      </c>
      <c r="B2310" s="73">
        <v>1</v>
      </c>
      <c r="C2310" s="73"/>
      <c r="D2310" s="180" t="s">
        <v>624</v>
      </c>
      <c r="E2310" s="39">
        <v>43596</v>
      </c>
      <c r="F2310" s="179">
        <v>0.50486111111111109</v>
      </c>
      <c r="G2310" s="180">
        <v>1</v>
      </c>
      <c r="H2310" s="180"/>
      <c r="I2310" s="180"/>
      <c r="J2310" s="180"/>
      <c r="K2310" s="180"/>
      <c r="L2310" s="180"/>
      <c r="M2310" s="180"/>
      <c r="N2310" s="180"/>
      <c r="O2310" s="180"/>
      <c r="P2310" s="180"/>
    </row>
    <row r="2311" spans="1:16" x14ac:dyDescent="0.45">
      <c r="A2311" s="180" t="s">
        <v>15</v>
      </c>
      <c r="B2311" s="73">
        <v>6</v>
      </c>
      <c r="C2311" s="73"/>
      <c r="D2311" s="180" t="s">
        <v>600</v>
      </c>
      <c r="E2311" s="39">
        <v>43596</v>
      </c>
      <c r="F2311" s="179">
        <v>0.3125</v>
      </c>
      <c r="G2311" s="180">
        <v>4</v>
      </c>
      <c r="H2311" s="180" t="s">
        <v>629</v>
      </c>
      <c r="I2311" s="180"/>
      <c r="J2311" s="180"/>
      <c r="K2311" s="180"/>
      <c r="L2311" s="180"/>
      <c r="M2311" s="180"/>
      <c r="N2311" s="180"/>
      <c r="O2311" s="180"/>
      <c r="P2311" s="180"/>
    </row>
    <row r="2312" spans="1:16" x14ac:dyDescent="0.45">
      <c r="A2312" s="180" t="s">
        <v>15</v>
      </c>
      <c r="B2312" s="73">
        <v>1</v>
      </c>
      <c r="C2312" s="73"/>
      <c r="D2312" s="180" t="s">
        <v>600</v>
      </c>
      <c r="E2312" s="39">
        <v>43596</v>
      </c>
      <c r="F2312" s="179">
        <v>0.38194444444444442</v>
      </c>
      <c r="G2312" s="180">
        <v>2</v>
      </c>
      <c r="H2312" s="180"/>
      <c r="I2312" s="180"/>
      <c r="J2312" s="180"/>
      <c r="K2312" s="180"/>
      <c r="L2312" s="180"/>
      <c r="M2312" s="180"/>
      <c r="N2312" s="180"/>
      <c r="O2312" s="180"/>
      <c r="P2312" s="180"/>
    </row>
    <row r="2313" spans="1:16" x14ac:dyDescent="0.45">
      <c r="A2313" s="180" t="s">
        <v>15</v>
      </c>
      <c r="B2313" s="73">
        <v>2</v>
      </c>
      <c r="C2313" s="73"/>
      <c r="D2313" s="180" t="s">
        <v>600</v>
      </c>
      <c r="E2313" s="39">
        <v>43596</v>
      </c>
      <c r="F2313" s="179">
        <v>0.28125</v>
      </c>
      <c r="G2313" s="180">
        <v>2</v>
      </c>
      <c r="H2313" s="180" t="s">
        <v>613</v>
      </c>
      <c r="I2313" s="180"/>
      <c r="J2313" s="180"/>
      <c r="K2313" s="180"/>
      <c r="L2313" s="180"/>
      <c r="M2313" s="180"/>
      <c r="N2313" s="180"/>
      <c r="O2313" s="180"/>
      <c r="P2313" s="180"/>
    </row>
    <row r="2314" spans="1:16" x14ac:dyDescent="0.45">
      <c r="A2314" s="180" t="s">
        <v>15</v>
      </c>
      <c r="B2314" s="73">
        <v>12</v>
      </c>
      <c r="C2314" s="73">
        <v>12</v>
      </c>
      <c r="D2314" s="180" t="s">
        <v>600</v>
      </c>
      <c r="E2314" s="39">
        <v>43596</v>
      </c>
      <c r="F2314" s="179">
        <v>0.44166666666666665</v>
      </c>
      <c r="G2314" s="180">
        <v>20</v>
      </c>
      <c r="H2314" s="180"/>
      <c r="I2314" s="180"/>
      <c r="J2314" s="180"/>
      <c r="K2314" s="180"/>
      <c r="L2314" s="180"/>
      <c r="M2314" s="180"/>
      <c r="N2314" s="180"/>
      <c r="O2314" s="180"/>
      <c r="P2314" s="180"/>
    </row>
    <row r="2315" spans="1:16" x14ac:dyDescent="0.45">
      <c r="A2315" s="180" t="s">
        <v>15</v>
      </c>
      <c r="B2315" s="73">
        <v>1</v>
      </c>
      <c r="C2315" s="73"/>
      <c r="D2315" s="180" t="s">
        <v>600</v>
      </c>
      <c r="E2315" s="39">
        <v>43596</v>
      </c>
      <c r="F2315" s="179">
        <v>0.38055555555555554</v>
      </c>
      <c r="G2315" s="180">
        <v>20</v>
      </c>
      <c r="H2315" s="180" t="s">
        <v>604</v>
      </c>
      <c r="I2315" s="180"/>
      <c r="J2315" s="180"/>
      <c r="K2315" s="180"/>
      <c r="L2315" s="180"/>
      <c r="M2315" s="180"/>
      <c r="N2315" s="180"/>
      <c r="O2315" s="180"/>
      <c r="P2315" s="180"/>
    </row>
    <row r="2316" spans="1:16" x14ac:dyDescent="0.45">
      <c r="A2316" s="180" t="s">
        <v>15</v>
      </c>
      <c r="B2316" s="73">
        <v>6</v>
      </c>
      <c r="C2316" s="73"/>
      <c r="D2316" s="180" t="s">
        <v>600</v>
      </c>
      <c r="E2316" s="39">
        <v>43596</v>
      </c>
      <c r="F2316" s="179">
        <v>0.28194444444444444</v>
      </c>
      <c r="G2316" s="180">
        <v>1</v>
      </c>
      <c r="H2316" s="180"/>
      <c r="I2316" s="180"/>
      <c r="J2316" s="180"/>
      <c r="K2316" s="180"/>
      <c r="L2316" s="180"/>
      <c r="M2316" s="180"/>
      <c r="N2316" s="180"/>
      <c r="O2316" s="180"/>
      <c r="P2316" s="180"/>
    </row>
    <row r="2317" spans="1:16" x14ac:dyDescent="0.45">
      <c r="A2317" s="180" t="s">
        <v>15</v>
      </c>
      <c r="B2317" s="73">
        <v>12</v>
      </c>
      <c r="C2317" s="73"/>
      <c r="D2317" s="180" t="s">
        <v>600</v>
      </c>
      <c r="E2317" s="39">
        <v>43596</v>
      </c>
      <c r="F2317" s="179">
        <v>0.59861111111111109</v>
      </c>
      <c r="G2317" s="180">
        <v>1</v>
      </c>
      <c r="H2317" s="180"/>
      <c r="I2317" s="180"/>
      <c r="J2317" s="180"/>
      <c r="K2317" s="180"/>
      <c r="L2317" s="180"/>
      <c r="M2317" s="180"/>
      <c r="N2317" s="180"/>
      <c r="O2317" s="180"/>
      <c r="P2317" s="180"/>
    </row>
    <row r="2318" spans="1:16" x14ac:dyDescent="0.45">
      <c r="A2318" s="180" t="s">
        <v>15</v>
      </c>
      <c r="B2318" s="73">
        <v>7</v>
      </c>
      <c r="C2318" s="73"/>
      <c r="D2318" s="180" t="s">
        <v>602</v>
      </c>
      <c r="E2318" s="39">
        <v>43596</v>
      </c>
      <c r="F2318" s="179">
        <v>0.33749999999999997</v>
      </c>
      <c r="G2318" s="180">
        <v>1</v>
      </c>
      <c r="H2318" s="180"/>
      <c r="I2318" s="180"/>
      <c r="J2318" s="180"/>
      <c r="K2318" s="180"/>
      <c r="L2318" s="180"/>
      <c r="M2318" s="180"/>
      <c r="N2318" s="180"/>
      <c r="O2318" s="180"/>
      <c r="P2318" s="180"/>
    </row>
    <row r="2319" spans="1:16" x14ac:dyDescent="0.45">
      <c r="A2319" s="180" t="s">
        <v>15</v>
      </c>
      <c r="B2319" s="73">
        <v>7</v>
      </c>
      <c r="C2319" s="73"/>
      <c r="D2319" s="180" t="s">
        <v>602</v>
      </c>
      <c r="E2319" s="39">
        <v>43596</v>
      </c>
      <c r="F2319" s="179">
        <v>0.33749999999999997</v>
      </c>
      <c r="G2319" s="180">
        <v>1</v>
      </c>
      <c r="H2319" s="180"/>
      <c r="I2319" s="180"/>
      <c r="J2319" s="180"/>
      <c r="K2319" s="180"/>
      <c r="L2319" s="180"/>
      <c r="M2319" s="180"/>
      <c r="N2319" s="180"/>
      <c r="O2319" s="180"/>
      <c r="P2319" s="180"/>
    </row>
    <row r="2320" spans="1:16" x14ac:dyDescent="0.45">
      <c r="A2320" s="180" t="s">
        <v>15</v>
      </c>
      <c r="B2320" s="73">
        <v>25</v>
      </c>
      <c r="C2320" s="73">
        <v>25</v>
      </c>
      <c r="D2320" s="180" t="s">
        <v>600</v>
      </c>
      <c r="E2320" s="39">
        <v>43597</v>
      </c>
      <c r="F2320" s="179">
        <v>0.28819444444444448</v>
      </c>
      <c r="G2320" s="180">
        <v>6</v>
      </c>
      <c r="H2320" s="180" t="s">
        <v>609</v>
      </c>
      <c r="I2320" s="180"/>
      <c r="J2320" s="180"/>
      <c r="K2320" s="180"/>
      <c r="L2320" s="180"/>
      <c r="M2320" s="180"/>
      <c r="N2320" s="180"/>
      <c r="O2320" s="180"/>
      <c r="P2320" s="180"/>
    </row>
    <row r="2321" spans="1:16" x14ac:dyDescent="0.45">
      <c r="A2321" s="180" t="s">
        <v>15</v>
      </c>
      <c r="B2321" s="73">
        <v>1</v>
      </c>
      <c r="C2321" s="73"/>
      <c r="D2321" s="180" t="s">
        <v>600</v>
      </c>
      <c r="E2321" s="39">
        <v>43597</v>
      </c>
      <c r="F2321" s="179">
        <v>0.4826388888888889</v>
      </c>
      <c r="G2321" s="180">
        <v>10</v>
      </c>
      <c r="H2321" s="180" t="s">
        <v>614</v>
      </c>
      <c r="I2321" s="180"/>
      <c r="J2321" s="180"/>
      <c r="K2321" s="180"/>
      <c r="L2321" s="180"/>
      <c r="M2321" s="180"/>
      <c r="N2321" s="180"/>
      <c r="O2321" s="180"/>
      <c r="P2321" s="180"/>
    </row>
    <row r="2322" spans="1:16" x14ac:dyDescent="0.45">
      <c r="A2322" s="180" t="s">
        <v>15</v>
      </c>
      <c r="B2322" s="73">
        <v>4</v>
      </c>
      <c r="C2322" s="73"/>
      <c r="D2322" s="180" t="s">
        <v>600</v>
      </c>
      <c r="E2322" s="39">
        <v>43597</v>
      </c>
      <c r="F2322" s="179">
        <v>0.4375</v>
      </c>
      <c r="G2322" s="180">
        <v>4</v>
      </c>
      <c r="H2322" s="180" t="s">
        <v>633</v>
      </c>
      <c r="I2322" s="180"/>
      <c r="J2322" s="180"/>
      <c r="K2322" s="180"/>
      <c r="L2322" s="180"/>
      <c r="M2322" s="180"/>
      <c r="N2322" s="180"/>
      <c r="O2322" s="180"/>
      <c r="P2322" s="180"/>
    </row>
    <row r="2323" spans="1:16" x14ac:dyDescent="0.45">
      <c r="A2323" s="180" t="s">
        <v>15</v>
      </c>
      <c r="B2323" s="73">
        <v>5</v>
      </c>
      <c r="C2323" s="73"/>
      <c r="D2323" s="180" t="s">
        <v>600</v>
      </c>
      <c r="E2323" s="39">
        <v>43598</v>
      </c>
      <c r="F2323" s="179">
        <v>0.45347222222222222</v>
      </c>
      <c r="G2323" s="180">
        <v>2</v>
      </c>
      <c r="H2323" s="180"/>
      <c r="I2323" s="180"/>
      <c r="J2323" s="180"/>
      <c r="K2323" s="180"/>
      <c r="L2323" s="180"/>
      <c r="M2323" s="180"/>
      <c r="N2323" s="180"/>
      <c r="O2323" s="180"/>
      <c r="P2323" s="180"/>
    </row>
    <row r="2324" spans="1:16" x14ac:dyDescent="0.45">
      <c r="A2324" s="180" t="s">
        <v>15</v>
      </c>
      <c r="B2324" s="73">
        <v>7</v>
      </c>
      <c r="C2324" s="73">
        <v>7</v>
      </c>
      <c r="D2324" s="180" t="s">
        <v>600</v>
      </c>
      <c r="E2324" s="39">
        <v>43598</v>
      </c>
      <c r="F2324" s="179">
        <v>0.45555555555555555</v>
      </c>
      <c r="G2324" s="180">
        <v>3</v>
      </c>
      <c r="H2324" s="180" t="s">
        <v>627</v>
      </c>
      <c r="I2324" s="180"/>
      <c r="J2324" s="180"/>
      <c r="K2324" s="180"/>
      <c r="L2324" s="180"/>
      <c r="M2324" s="180"/>
      <c r="N2324" s="180"/>
      <c r="O2324" s="180"/>
      <c r="P2324" s="180"/>
    </row>
    <row r="2325" spans="1:16" x14ac:dyDescent="0.45">
      <c r="A2325" s="180" t="s">
        <v>15</v>
      </c>
      <c r="B2325" s="73">
        <v>7</v>
      </c>
      <c r="C2325" s="73"/>
      <c r="D2325" s="180" t="s">
        <v>600</v>
      </c>
      <c r="E2325" s="39">
        <v>43598</v>
      </c>
      <c r="F2325" s="179">
        <v>0.45555555555555555</v>
      </c>
      <c r="G2325" s="180">
        <v>3</v>
      </c>
      <c r="H2325" s="180" t="s">
        <v>627</v>
      </c>
      <c r="I2325" s="180"/>
      <c r="J2325" s="180"/>
      <c r="K2325" s="180"/>
      <c r="L2325" s="180"/>
      <c r="M2325" s="180"/>
      <c r="N2325" s="180"/>
      <c r="O2325" s="180"/>
      <c r="P2325" s="180"/>
    </row>
    <row r="2326" spans="1:16" x14ac:dyDescent="0.45">
      <c r="A2326" s="180" t="s">
        <v>15</v>
      </c>
      <c r="B2326" s="73">
        <v>4</v>
      </c>
      <c r="C2326" s="73">
        <v>4</v>
      </c>
      <c r="D2326" s="180" t="s">
        <v>618</v>
      </c>
      <c r="E2326" s="39">
        <v>43599</v>
      </c>
      <c r="F2326" s="179">
        <v>0.59375</v>
      </c>
      <c r="G2326" s="180">
        <v>2</v>
      </c>
      <c r="H2326" s="180"/>
      <c r="I2326" s="180"/>
      <c r="J2326" s="180"/>
      <c r="K2326" s="180"/>
      <c r="L2326" s="180"/>
      <c r="M2326" s="180"/>
      <c r="N2326" s="180"/>
      <c r="O2326" s="180"/>
      <c r="P2326" s="180"/>
    </row>
    <row r="2327" spans="1:16" x14ac:dyDescent="0.45">
      <c r="A2327" s="180" t="s">
        <v>15</v>
      </c>
      <c r="B2327" s="73">
        <v>4</v>
      </c>
      <c r="C2327" s="73"/>
      <c r="D2327" s="180" t="s">
        <v>618</v>
      </c>
      <c r="E2327" s="39">
        <v>43599</v>
      </c>
      <c r="F2327" s="179">
        <v>0.59375</v>
      </c>
      <c r="G2327" s="180">
        <v>2</v>
      </c>
      <c r="H2327" s="180"/>
      <c r="I2327" s="180"/>
      <c r="J2327" s="180"/>
      <c r="K2327" s="180"/>
      <c r="L2327" s="180"/>
      <c r="M2327" s="180"/>
      <c r="N2327" s="180"/>
      <c r="O2327" s="180"/>
      <c r="P2327" s="180"/>
    </row>
    <row r="2328" spans="1:16" x14ac:dyDescent="0.45">
      <c r="A2328" s="180" t="s">
        <v>15</v>
      </c>
      <c r="B2328" s="73">
        <v>3</v>
      </c>
      <c r="C2328" s="73"/>
      <c r="D2328" s="180" t="s">
        <v>600</v>
      </c>
      <c r="E2328" s="39">
        <v>43599</v>
      </c>
      <c r="F2328" s="179">
        <v>0.4201388888888889</v>
      </c>
      <c r="G2328" s="180">
        <v>1</v>
      </c>
      <c r="H2328" s="180"/>
      <c r="I2328" s="180"/>
      <c r="J2328" s="180"/>
      <c r="K2328" s="180"/>
      <c r="L2328" s="180"/>
      <c r="M2328" s="180"/>
      <c r="N2328" s="180"/>
      <c r="O2328" s="180"/>
      <c r="P2328" s="180"/>
    </row>
    <row r="2329" spans="1:16" x14ac:dyDescent="0.45">
      <c r="A2329" s="180" t="s">
        <v>15</v>
      </c>
      <c r="B2329" s="73">
        <v>1</v>
      </c>
      <c r="C2329" s="73">
        <v>1</v>
      </c>
      <c r="D2329" s="180" t="s">
        <v>600</v>
      </c>
      <c r="E2329" s="39">
        <v>43600</v>
      </c>
      <c r="F2329" s="179">
        <v>0.68055555555555547</v>
      </c>
      <c r="G2329" s="180">
        <v>2</v>
      </c>
      <c r="H2329" s="180" t="s">
        <v>405</v>
      </c>
      <c r="I2329" s="180"/>
      <c r="J2329" s="180"/>
      <c r="K2329" s="180"/>
      <c r="L2329" s="180"/>
      <c r="M2329" s="180"/>
      <c r="N2329" s="180"/>
      <c r="O2329" s="180"/>
      <c r="P2329" s="180"/>
    </row>
    <row r="2330" spans="1:16" x14ac:dyDescent="0.45">
      <c r="A2330" s="180" t="s">
        <v>15</v>
      </c>
      <c r="B2330" s="73">
        <v>3</v>
      </c>
      <c r="C2330" s="73">
        <v>3</v>
      </c>
      <c r="D2330" s="180" t="s">
        <v>600</v>
      </c>
      <c r="E2330" s="39">
        <v>43603</v>
      </c>
      <c r="F2330" s="179">
        <v>0.70277777777777783</v>
      </c>
      <c r="G2330" s="180">
        <v>5</v>
      </c>
      <c r="H2330" s="180" t="s">
        <v>628</v>
      </c>
      <c r="I2330" s="180"/>
      <c r="J2330" s="180"/>
      <c r="K2330" s="180"/>
      <c r="L2330" s="180"/>
      <c r="M2330" s="180"/>
      <c r="N2330" s="180"/>
      <c r="O2330" s="180"/>
      <c r="P2330" s="180"/>
    </row>
    <row r="2331" spans="1:16" x14ac:dyDescent="0.45">
      <c r="A2331" s="180" t="s">
        <v>15</v>
      </c>
      <c r="B2331" s="73">
        <v>3</v>
      </c>
      <c r="C2331" s="73"/>
      <c r="D2331" s="180" t="s">
        <v>600</v>
      </c>
      <c r="E2331" s="39">
        <v>43603</v>
      </c>
      <c r="F2331" s="179">
        <v>0.70277777777777783</v>
      </c>
      <c r="G2331" s="180">
        <v>5</v>
      </c>
      <c r="H2331" s="180" t="s">
        <v>628</v>
      </c>
      <c r="I2331" s="180"/>
      <c r="J2331" s="180"/>
      <c r="K2331" s="180"/>
      <c r="L2331" s="180"/>
      <c r="M2331" s="180"/>
      <c r="N2331" s="180"/>
      <c r="O2331" s="180"/>
      <c r="P2331" s="180"/>
    </row>
    <row r="2332" spans="1:16" x14ac:dyDescent="0.45">
      <c r="A2332" s="1" t="s">
        <v>273</v>
      </c>
      <c r="B2332" s="73"/>
      <c r="C2332" s="73">
        <f>SUM(C2292:C2331)</f>
        <v>59</v>
      </c>
      <c r="D2332" s="180"/>
      <c r="E2332" s="39"/>
      <c r="F2332" s="179"/>
      <c r="G2332" s="180"/>
      <c r="H2332" s="180"/>
      <c r="I2332" s="180"/>
      <c r="J2332" s="180"/>
      <c r="K2332" s="180"/>
      <c r="L2332" s="180"/>
      <c r="M2332" s="180"/>
      <c r="N2332" s="180"/>
      <c r="O2332" s="180"/>
      <c r="P2332" s="180"/>
    </row>
    <row r="2333" spans="1:16" x14ac:dyDescent="0.45">
      <c r="A2333" s="180"/>
      <c r="B2333" s="73"/>
      <c r="C2333" s="73"/>
      <c r="D2333" s="180"/>
      <c r="E2333" s="39"/>
      <c r="F2333" s="179"/>
      <c r="G2333" s="180"/>
      <c r="H2333" s="180"/>
      <c r="I2333" s="180"/>
      <c r="J2333" s="180"/>
      <c r="K2333" s="180"/>
      <c r="L2333" s="180"/>
      <c r="M2333" s="180"/>
      <c r="N2333" s="180"/>
      <c r="O2333" s="180"/>
      <c r="P2333" s="180"/>
    </row>
    <row r="2334" spans="1:16" x14ac:dyDescent="0.45">
      <c r="A2334" s="180" t="s">
        <v>183</v>
      </c>
      <c r="B2334" s="73">
        <v>4</v>
      </c>
      <c r="C2334" s="73">
        <v>4</v>
      </c>
      <c r="D2334" s="180" t="s">
        <v>600</v>
      </c>
      <c r="E2334" s="39">
        <v>43595</v>
      </c>
      <c r="F2334" s="179">
        <v>0.56666666666666665</v>
      </c>
      <c r="G2334" s="180">
        <v>3</v>
      </c>
      <c r="H2334" s="180"/>
      <c r="I2334" s="180"/>
      <c r="J2334" s="180"/>
      <c r="K2334" s="180"/>
      <c r="L2334" s="180"/>
      <c r="M2334" s="180"/>
      <c r="N2334" s="180"/>
      <c r="O2334" s="180"/>
      <c r="P2334" s="180"/>
    </row>
    <row r="2335" spans="1:16" x14ac:dyDescent="0.45">
      <c r="A2335" s="180" t="s">
        <v>183</v>
      </c>
      <c r="B2335" s="73">
        <v>4</v>
      </c>
      <c r="C2335" s="73"/>
      <c r="D2335" s="180" t="s">
        <v>600</v>
      </c>
      <c r="E2335" s="39">
        <v>43595</v>
      </c>
      <c r="F2335" s="179">
        <v>0.56666666666666665</v>
      </c>
      <c r="G2335" s="180">
        <v>3</v>
      </c>
      <c r="H2335" s="180"/>
      <c r="I2335" s="180"/>
      <c r="J2335" s="180"/>
      <c r="K2335" s="180"/>
      <c r="L2335" s="180"/>
      <c r="M2335" s="180"/>
      <c r="N2335" s="180"/>
      <c r="O2335" s="180"/>
      <c r="P2335" s="180"/>
    </row>
    <row r="2336" spans="1:16" x14ac:dyDescent="0.45">
      <c r="A2336" s="180" t="s">
        <v>183</v>
      </c>
      <c r="B2336" s="73">
        <v>2</v>
      </c>
      <c r="C2336" s="73">
        <v>2</v>
      </c>
      <c r="D2336" s="180" t="s">
        <v>600</v>
      </c>
      <c r="E2336" s="39">
        <v>43596</v>
      </c>
      <c r="F2336" s="179">
        <v>0.28194444444444444</v>
      </c>
      <c r="G2336" s="180">
        <v>1</v>
      </c>
      <c r="H2336" s="180"/>
      <c r="I2336" s="180"/>
      <c r="J2336" s="180"/>
      <c r="K2336" s="180"/>
      <c r="L2336" s="180"/>
      <c r="M2336" s="180"/>
      <c r="N2336" s="180"/>
      <c r="O2336" s="180"/>
      <c r="P2336" s="180"/>
    </row>
    <row r="2337" spans="1:16" x14ac:dyDescent="0.45">
      <c r="A2337" s="180" t="s">
        <v>183</v>
      </c>
      <c r="B2337" s="73">
        <v>2</v>
      </c>
      <c r="C2337" s="73"/>
      <c r="D2337" s="180" t="s">
        <v>602</v>
      </c>
      <c r="E2337" s="39">
        <v>43596</v>
      </c>
      <c r="F2337" s="179">
        <v>0.33333333333333331</v>
      </c>
      <c r="G2337" s="180">
        <v>2</v>
      </c>
      <c r="H2337" s="180"/>
      <c r="I2337" s="180"/>
      <c r="J2337" s="180"/>
      <c r="K2337" s="180"/>
      <c r="L2337" s="180"/>
      <c r="M2337" s="180"/>
      <c r="N2337" s="180"/>
      <c r="O2337" s="180"/>
      <c r="P2337" s="180"/>
    </row>
    <row r="2338" spans="1:16" x14ac:dyDescent="0.45">
      <c r="A2338" s="180" t="s">
        <v>183</v>
      </c>
      <c r="B2338" s="73">
        <v>1</v>
      </c>
      <c r="C2338" s="73"/>
      <c r="D2338" s="180" t="s">
        <v>600</v>
      </c>
      <c r="E2338" s="39">
        <v>43597</v>
      </c>
      <c r="F2338" s="179">
        <v>0.42430555555555555</v>
      </c>
      <c r="G2338" s="180">
        <v>3</v>
      </c>
      <c r="H2338" s="180"/>
      <c r="I2338" s="180"/>
      <c r="J2338" s="180"/>
      <c r="K2338" s="180"/>
      <c r="L2338" s="180"/>
      <c r="M2338" s="180"/>
      <c r="N2338" s="180"/>
      <c r="O2338" s="180"/>
      <c r="P2338" s="180"/>
    </row>
    <row r="2339" spans="1:16" x14ac:dyDescent="0.45">
      <c r="A2339" s="180" t="s">
        <v>183</v>
      </c>
      <c r="B2339" s="73">
        <v>2</v>
      </c>
      <c r="C2339" s="73"/>
      <c r="D2339" s="180" t="s">
        <v>600</v>
      </c>
      <c r="E2339" s="39">
        <v>43597</v>
      </c>
      <c r="F2339" s="179">
        <v>0.4375</v>
      </c>
      <c r="G2339" s="180">
        <v>12</v>
      </c>
      <c r="H2339" s="180" t="s">
        <v>615</v>
      </c>
      <c r="I2339" s="180"/>
      <c r="J2339" s="180"/>
      <c r="K2339" s="180"/>
      <c r="L2339" s="180"/>
      <c r="M2339" s="180"/>
      <c r="N2339" s="180"/>
      <c r="O2339" s="180"/>
      <c r="P2339" s="180"/>
    </row>
    <row r="2340" spans="1:16" x14ac:dyDescent="0.45">
      <c r="A2340" s="180" t="s">
        <v>183</v>
      </c>
      <c r="B2340" s="73">
        <v>5</v>
      </c>
      <c r="C2340" s="73">
        <v>5</v>
      </c>
      <c r="D2340" s="180" t="s">
        <v>602</v>
      </c>
      <c r="E2340" s="39">
        <v>43597</v>
      </c>
      <c r="F2340" s="179">
        <v>0.49027777777777781</v>
      </c>
      <c r="G2340" s="180">
        <v>9</v>
      </c>
      <c r="H2340" s="180" t="s">
        <v>616</v>
      </c>
      <c r="I2340" s="180"/>
      <c r="J2340" s="180"/>
      <c r="K2340" s="180"/>
      <c r="L2340" s="180"/>
      <c r="M2340" s="180"/>
      <c r="N2340" s="180"/>
      <c r="O2340" s="180"/>
      <c r="P2340" s="180"/>
    </row>
    <row r="2341" spans="1:16" x14ac:dyDescent="0.45">
      <c r="A2341" s="180" t="s">
        <v>183</v>
      </c>
      <c r="B2341" s="73">
        <v>1</v>
      </c>
      <c r="C2341" s="73">
        <v>1</v>
      </c>
      <c r="D2341" s="180" t="s">
        <v>600</v>
      </c>
      <c r="E2341" s="39">
        <v>43599</v>
      </c>
      <c r="F2341" s="179">
        <v>0.4201388888888889</v>
      </c>
      <c r="G2341" s="180">
        <v>1</v>
      </c>
      <c r="H2341" s="180"/>
      <c r="I2341" s="180"/>
      <c r="J2341" s="180"/>
      <c r="K2341" s="180"/>
      <c r="L2341" s="180"/>
      <c r="M2341" s="180"/>
      <c r="N2341" s="180"/>
      <c r="O2341" s="180"/>
      <c r="P2341" s="180"/>
    </row>
    <row r="2342" spans="1:16" x14ac:dyDescent="0.45">
      <c r="A2342" s="180" t="s">
        <v>183</v>
      </c>
      <c r="B2342" s="73">
        <v>1</v>
      </c>
      <c r="C2342" s="73"/>
      <c r="D2342" s="180" t="s">
        <v>640</v>
      </c>
      <c r="E2342" s="39">
        <v>43599</v>
      </c>
      <c r="F2342" s="179">
        <v>0.69513888888888886</v>
      </c>
      <c r="G2342" s="180">
        <v>2</v>
      </c>
      <c r="H2342" s="180"/>
      <c r="I2342" s="180"/>
      <c r="J2342" s="180"/>
      <c r="K2342" s="180"/>
      <c r="L2342" s="180"/>
      <c r="M2342" s="180"/>
      <c r="N2342" s="180"/>
      <c r="O2342" s="180"/>
      <c r="P2342" s="180"/>
    </row>
    <row r="2343" spans="1:16" x14ac:dyDescent="0.45">
      <c r="A2343" s="180" t="s">
        <v>183</v>
      </c>
      <c r="B2343" s="73">
        <v>8</v>
      </c>
      <c r="C2343" s="73">
        <v>8</v>
      </c>
      <c r="D2343" s="180" t="s">
        <v>635</v>
      </c>
      <c r="E2343" s="39">
        <v>43608</v>
      </c>
      <c r="F2343" s="179">
        <v>0.92222222222222217</v>
      </c>
      <c r="G2343" s="180">
        <v>3</v>
      </c>
      <c r="H2343" s="180" t="s">
        <v>636</v>
      </c>
      <c r="I2343" s="180"/>
      <c r="J2343" s="180"/>
      <c r="K2343" s="180"/>
      <c r="L2343" s="180"/>
      <c r="M2343" s="180"/>
      <c r="N2343" s="180"/>
      <c r="O2343" s="180"/>
      <c r="P2343" s="180"/>
    </row>
    <row r="2344" spans="1:16" x14ac:dyDescent="0.45">
      <c r="A2344" s="180" t="s">
        <v>183</v>
      </c>
      <c r="B2344" s="73">
        <v>8</v>
      </c>
      <c r="C2344" s="73"/>
      <c r="D2344" s="180" t="s">
        <v>635</v>
      </c>
      <c r="E2344" s="39">
        <v>43608</v>
      </c>
      <c r="F2344" s="179">
        <v>0.92222222222222217</v>
      </c>
      <c r="G2344" s="180">
        <v>3</v>
      </c>
      <c r="H2344" s="180" t="s">
        <v>636</v>
      </c>
      <c r="I2344" s="180"/>
      <c r="J2344" s="180"/>
      <c r="K2344" s="180"/>
      <c r="L2344" s="180"/>
      <c r="M2344" s="180"/>
      <c r="N2344" s="180"/>
      <c r="O2344" s="180"/>
      <c r="P2344" s="180"/>
    </row>
    <row r="2345" spans="1:16" x14ac:dyDescent="0.45">
      <c r="A2345" s="1" t="s">
        <v>273</v>
      </c>
      <c r="B2345" s="73"/>
      <c r="C2345" s="73">
        <f>SUM(C2334:C2344)</f>
        <v>20</v>
      </c>
      <c r="D2345" s="180"/>
      <c r="E2345" s="39"/>
      <c r="F2345" s="179"/>
      <c r="G2345" s="180"/>
      <c r="H2345" s="180"/>
      <c r="I2345" s="180"/>
      <c r="J2345" s="180"/>
      <c r="K2345" s="180"/>
      <c r="L2345" s="180"/>
      <c r="M2345" s="180"/>
      <c r="N2345" s="180"/>
      <c r="O2345" s="180"/>
      <c r="P2345" s="180"/>
    </row>
    <row r="2346" spans="1:16" x14ac:dyDescent="0.45">
      <c r="A2346" s="180"/>
      <c r="B2346" s="73"/>
      <c r="C2346" s="73"/>
      <c r="D2346" s="180"/>
      <c r="E2346" s="39"/>
      <c r="F2346" s="179"/>
      <c r="G2346" s="180"/>
      <c r="H2346" s="180"/>
      <c r="I2346" s="180"/>
      <c r="J2346" s="180"/>
      <c r="K2346" s="180"/>
      <c r="L2346" s="180"/>
      <c r="M2346" s="180"/>
      <c r="N2346" s="180"/>
      <c r="O2346" s="180"/>
      <c r="P2346" s="180"/>
    </row>
    <row r="2347" spans="1:16" x14ac:dyDescent="0.45">
      <c r="A2347" s="180" t="s">
        <v>6</v>
      </c>
      <c r="B2347" s="73">
        <v>2</v>
      </c>
      <c r="C2347" s="73">
        <v>2</v>
      </c>
      <c r="D2347" s="180" t="s">
        <v>600</v>
      </c>
      <c r="E2347" s="39">
        <v>43595</v>
      </c>
      <c r="F2347" s="179">
        <v>0.61249999999999993</v>
      </c>
      <c r="G2347" s="180">
        <v>2</v>
      </c>
      <c r="H2347" s="180" t="s">
        <v>612</v>
      </c>
      <c r="I2347" s="180"/>
      <c r="J2347" s="180"/>
      <c r="K2347" s="180"/>
      <c r="L2347" s="180"/>
      <c r="M2347" s="180"/>
      <c r="N2347" s="180"/>
      <c r="O2347" s="180"/>
      <c r="P2347" s="180"/>
    </row>
    <row r="2348" spans="1:16" x14ac:dyDescent="0.45">
      <c r="A2348" s="180" t="s">
        <v>6</v>
      </c>
      <c r="B2348" s="73">
        <v>1</v>
      </c>
      <c r="C2348" s="73">
        <v>1</v>
      </c>
      <c r="D2348" s="180" t="s">
        <v>600</v>
      </c>
      <c r="E2348" s="39">
        <v>43598</v>
      </c>
      <c r="F2348" s="179">
        <v>0.45555555555555555</v>
      </c>
      <c r="G2348" s="180">
        <v>3</v>
      </c>
      <c r="H2348" s="180" t="s">
        <v>627</v>
      </c>
      <c r="I2348" s="180"/>
      <c r="J2348" s="180"/>
      <c r="K2348" s="180"/>
      <c r="L2348" s="180"/>
      <c r="M2348" s="180"/>
      <c r="N2348" s="180"/>
      <c r="O2348" s="180"/>
      <c r="P2348" s="180"/>
    </row>
    <row r="2349" spans="1:16" x14ac:dyDescent="0.45">
      <c r="A2349" s="180" t="s">
        <v>6</v>
      </c>
      <c r="B2349" s="73">
        <v>1</v>
      </c>
      <c r="C2349" s="73"/>
      <c r="D2349" s="180" t="s">
        <v>600</v>
      </c>
      <c r="E2349" s="39">
        <v>43598</v>
      </c>
      <c r="F2349" s="179">
        <v>0.45555555555555555</v>
      </c>
      <c r="G2349" s="180">
        <v>3</v>
      </c>
      <c r="H2349" s="180" t="s">
        <v>627</v>
      </c>
      <c r="I2349" s="180"/>
      <c r="J2349" s="180"/>
      <c r="K2349" s="180"/>
      <c r="L2349" s="180"/>
      <c r="M2349" s="180"/>
      <c r="N2349" s="180"/>
      <c r="O2349" s="180"/>
      <c r="P2349" s="180"/>
    </row>
    <row r="2350" spans="1:16" x14ac:dyDescent="0.45">
      <c r="A2350" s="180" t="s">
        <v>6</v>
      </c>
      <c r="B2350" s="73">
        <v>1</v>
      </c>
      <c r="C2350" s="73">
        <v>1</v>
      </c>
      <c r="D2350" s="180" t="s">
        <v>618</v>
      </c>
      <c r="E2350" s="39">
        <v>43599</v>
      </c>
      <c r="F2350" s="179">
        <v>0.69513888888888886</v>
      </c>
      <c r="G2350" s="180">
        <v>2</v>
      </c>
      <c r="H2350" s="180"/>
      <c r="I2350" s="180"/>
      <c r="J2350" s="180"/>
      <c r="K2350" s="180"/>
      <c r="L2350" s="180"/>
      <c r="M2350" s="180"/>
      <c r="N2350" s="180"/>
      <c r="O2350" s="180"/>
      <c r="P2350" s="180"/>
    </row>
    <row r="2351" spans="1:16" x14ac:dyDescent="0.45">
      <c r="A2351" s="180" t="s">
        <v>6</v>
      </c>
      <c r="B2351" s="73">
        <v>1</v>
      </c>
      <c r="C2351" s="73">
        <v>1</v>
      </c>
      <c r="D2351" s="180" t="s">
        <v>641</v>
      </c>
      <c r="E2351" s="39">
        <v>43607</v>
      </c>
      <c r="F2351" s="179">
        <v>0.22916666666666666</v>
      </c>
      <c r="G2351" s="180">
        <v>1</v>
      </c>
      <c r="H2351" s="180" t="s">
        <v>642</v>
      </c>
      <c r="I2351" s="180"/>
      <c r="J2351" s="180"/>
      <c r="K2351" s="180"/>
      <c r="L2351" s="180"/>
      <c r="M2351" s="180"/>
      <c r="N2351" s="180"/>
      <c r="O2351" s="180"/>
      <c r="P2351" s="180"/>
    </row>
    <row r="2352" spans="1:16" x14ac:dyDescent="0.45">
      <c r="A2352" s="180" t="s">
        <v>6</v>
      </c>
      <c r="B2352" s="73">
        <v>2</v>
      </c>
      <c r="C2352" s="73">
        <v>2</v>
      </c>
      <c r="D2352" s="180" t="s">
        <v>635</v>
      </c>
      <c r="E2352" s="39">
        <v>43608</v>
      </c>
      <c r="F2352" s="179">
        <v>0.92222222222222217</v>
      </c>
      <c r="G2352" s="180">
        <v>3</v>
      </c>
      <c r="H2352" s="180" t="s">
        <v>636</v>
      </c>
      <c r="I2352" s="180"/>
      <c r="J2352" s="180"/>
      <c r="K2352" s="180"/>
      <c r="L2352" s="180"/>
      <c r="M2352" s="180"/>
      <c r="N2352" s="180"/>
      <c r="O2352" s="180"/>
      <c r="P2352" s="180"/>
    </row>
    <row r="2353" spans="1:16" x14ac:dyDescent="0.45">
      <c r="A2353" s="180" t="s">
        <v>6</v>
      </c>
      <c r="B2353" s="73">
        <v>2</v>
      </c>
      <c r="C2353" s="73"/>
      <c r="D2353" s="180" t="s">
        <v>635</v>
      </c>
      <c r="E2353" s="39">
        <v>43608</v>
      </c>
      <c r="F2353" s="179">
        <v>0.92222222222222217</v>
      </c>
      <c r="G2353" s="180">
        <v>3</v>
      </c>
      <c r="H2353" s="180" t="s">
        <v>636</v>
      </c>
      <c r="I2353" s="180"/>
      <c r="J2353" s="180"/>
      <c r="K2353" s="180"/>
      <c r="L2353" s="180"/>
      <c r="M2353" s="180"/>
      <c r="N2353" s="180"/>
      <c r="O2353" s="180"/>
      <c r="P2353" s="180"/>
    </row>
    <row r="2354" spans="1:16" x14ac:dyDescent="0.45">
      <c r="A2354" s="180" t="s">
        <v>6</v>
      </c>
      <c r="B2354" s="73">
        <v>1</v>
      </c>
      <c r="C2354" s="73">
        <v>1</v>
      </c>
      <c r="D2354" s="180" t="s">
        <v>600</v>
      </c>
      <c r="E2354" s="39">
        <v>43612</v>
      </c>
      <c r="F2354" s="179">
        <v>0.34375</v>
      </c>
      <c r="G2354" s="180">
        <v>1</v>
      </c>
      <c r="H2354" s="180" t="s">
        <v>643</v>
      </c>
      <c r="I2354" s="180"/>
      <c r="J2354" s="180"/>
      <c r="K2354" s="180"/>
      <c r="L2354" s="180"/>
      <c r="M2354" s="180"/>
      <c r="N2354" s="180"/>
      <c r="O2354" s="180"/>
      <c r="P2354" s="180"/>
    </row>
    <row r="2355" spans="1:16" x14ac:dyDescent="0.45">
      <c r="A2355" s="1" t="s">
        <v>273</v>
      </c>
      <c r="B2355" s="73"/>
      <c r="C2355" s="73">
        <f>SUM(C2347:C2354)</f>
        <v>8</v>
      </c>
      <c r="D2355" s="180"/>
      <c r="E2355" s="39"/>
      <c r="F2355" s="179"/>
      <c r="G2355" s="180"/>
      <c r="H2355" s="180"/>
      <c r="I2355" s="180"/>
      <c r="J2355" s="180"/>
      <c r="K2355" s="180"/>
      <c r="L2355" s="180"/>
      <c r="M2355" s="180"/>
      <c r="N2355" s="180"/>
      <c r="O2355" s="180"/>
      <c r="P2355" s="180"/>
    </row>
    <row r="2356" spans="1:16" x14ac:dyDescent="0.45">
      <c r="A2356" s="180"/>
      <c r="B2356" s="73"/>
      <c r="C2356" s="73"/>
      <c r="D2356" s="180"/>
      <c r="E2356" s="39"/>
      <c r="F2356" s="179"/>
      <c r="G2356" s="180"/>
      <c r="H2356" s="180"/>
      <c r="I2356" s="180"/>
      <c r="J2356" s="180"/>
      <c r="K2356" s="180"/>
      <c r="L2356" s="180"/>
      <c r="M2356" s="180"/>
      <c r="N2356" s="180"/>
      <c r="O2356" s="180"/>
      <c r="P2356" s="180"/>
    </row>
    <row r="2357" spans="1:16" x14ac:dyDescent="0.45">
      <c r="A2357" s="180" t="s">
        <v>79</v>
      </c>
      <c r="B2357" s="73">
        <v>2</v>
      </c>
      <c r="C2357" s="73">
        <v>2</v>
      </c>
      <c r="D2357" s="180" t="s">
        <v>600</v>
      </c>
      <c r="E2357" s="39">
        <v>43595</v>
      </c>
      <c r="F2357" s="179">
        <v>0.61249999999999993</v>
      </c>
      <c r="G2357" s="180">
        <v>2</v>
      </c>
      <c r="H2357" s="180" t="s">
        <v>612</v>
      </c>
      <c r="I2357" s="180"/>
      <c r="J2357" s="180"/>
      <c r="K2357" s="180"/>
      <c r="L2357" s="180"/>
      <c r="M2357" s="180"/>
      <c r="N2357" s="180"/>
      <c r="O2357" s="180"/>
      <c r="P2357" s="180"/>
    </row>
    <row r="2358" spans="1:16" x14ac:dyDescent="0.45">
      <c r="A2358" s="180" t="s">
        <v>79</v>
      </c>
      <c r="B2358" s="73">
        <v>1</v>
      </c>
      <c r="C2358" s="73">
        <v>1</v>
      </c>
      <c r="D2358" s="180" t="s">
        <v>625</v>
      </c>
      <c r="E2358" s="39">
        <v>43597</v>
      </c>
      <c r="F2358" s="179">
        <v>0.43958333333333338</v>
      </c>
      <c r="G2358" s="180">
        <v>2</v>
      </c>
      <c r="H2358" s="180"/>
      <c r="I2358" s="180"/>
      <c r="J2358" s="180"/>
      <c r="K2358" s="180"/>
      <c r="L2358" s="180"/>
      <c r="M2358" s="180"/>
      <c r="N2358" s="180"/>
      <c r="O2358" s="180"/>
      <c r="P2358" s="180"/>
    </row>
    <row r="2359" spans="1:16" x14ac:dyDescent="0.45">
      <c r="A2359" s="1" t="s">
        <v>273</v>
      </c>
      <c r="B2359" s="73"/>
      <c r="C2359" s="73">
        <f>SUM(C2357:C2358)</f>
        <v>3</v>
      </c>
      <c r="D2359" s="180"/>
      <c r="E2359" s="39"/>
      <c r="F2359" s="179"/>
      <c r="G2359" s="180"/>
      <c r="H2359" s="180"/>
      <c r="I2359" s="180"/>
      <c r="J2359" s="180"/>
      <c r="K2359" s="180"/>
      <c r="L2359" s="180"/>
      <c r="M2359" s="180"/>
      <c r="N2359" s="180"/>
      <c r="O2359" s="180"/>
      <c r="P2359" s="180"/>
    </row>
    <row r="2360" spans="1:16" x14ac:dyDescent="0.45">
      <c r="A2360" s="180"/>
      <c r="B2360" s="73"/>
      <c r="C2360" s="73"/>
      <c r="D2360" s="180"/>
      <c r="E2360" s="39"/>
      <c r="F2360" s="179"/>
      <c r="G2360" s="180"/>
      <c r="H2360" s="180"/>
      <c r="I2360" s="180"/>
      <c r="J2360" s="180"/>
      <c r="K2360" s="180"/>
      <c r="L2360" s="180"/>
      <c r="M2360" s="180"/>
      <c r="N2360" s="180"/>
      <c r="O2360" s="180"/>
      <c r="P2360" s="180"/>
    </row>
    <row r="2361" spans="1:16" x14ac:dyDescent="0.45">
      <c r="A2361" s="180" t="s">
        <v>8</v>
      </c>
      <c r="B2361" s="73">
        <v>1</v>
      </c>
      <c r="C2361" s="73">
        <v>1</v>
      </c>
      <c r="D2361" s="180" t="s">
        <v>600</v>
      </c>
      <c r="E2361" s="39">
        <v>43593</v>
      </c>
      <c r="F2361" s="179">
        <v>0.79652777777777783</v>
      </c>
      <c r="G2361" s="180">
        <v>1</v>
      </c>
      <c r="H2361" s="180"/>
      <c r="I2361" s="180"/>
      <c r="J2361" s="180"/>
      <c r="K2361" s="180"/>
      <c r="L2361" s="180"/>
      <c r="M2361" s="180"/>
      <c r="N2361" s="180"/>
      <c r="O2361" s="180"/>
      <c r="P2361" s="180"/>
    </row>
    <row r="2362" spans="1:16" x14ac:dyDescent="0.45">
      <c r="A2362" s="180" t="s">
        <v>8</v>
      </c>
      <c r="B2362" s="73">
        <v>1</v>
      </c>
      <c r="C2362" s="73"/>
      <c r="D2362" s="180" t="s">
        <v>600</v>
      </c>
      <c r="E2362" s="39">
        <v>43597</v>
      </c>
      <c r="F2362" s="179">
        <v>0.28819444444444448</v>
      </c>
      <c r="G2362" s="180">
        <v>6</v>
      </c>
      <c r="H2362" s="180" t="s">
        <v>609</v>
      </c>
      <c r="I2362" s="180"/>
      <c r="J2362" s="180"/>
      <c r="K2362" s="180"/>
      <c r="L2362" s="180"/>
      <c r="M2362" s="180"/>
      <c r="N2362" s="180"/>
      <c r="O2362" s="180"/>
      <c r="P2362" s="180"/>
    </row>
    <row r="2363" spans="1:16" x14ac:dyDescent="0.45">
      <c r="A2363" s="180" t="s">
        <v>8</v>
      </c>
      <c r="B2363" s="73">
        <v>1</v>
      </c>
      <c r="C2363" s="73"/>
      <c r="D2363" s="180" t="s">
        <v>626</v>
      </c>
      <c r="E2363" s="39">
        <v>43597</v>
      </c>
      <c r="F2363" s="179">
        <v>0.4548611111111111</v>
      </c>
      <c r="G2363" s="180">
        <v>2</v>
      </c>
      <c r="H2363" s="180"/>
      <c r="I2363" s="180"/>
      <c r="J2363" s="180"/>
      <c r="K2363" s="180"/>
      <c r="L2363" s="180"/>
      <c r="M2363" s="180"/>
      <c r="N2363" s="180"/>
      <c r="O2363" s="180"/>
      <c r="P2363" s="180"/>
    </row>
    <row r="2364" spans="1:16" x14ac:dyDescent="0.45">
      <c r="A2364" s="180" t="s">
        <v>8</v>
      </c>
      <c r="B2364" s="73">
        <v>1</v>
      </c>
      <c r="C2364" s="73"/>
      <c r="D2364" s="180" t="s">
        <v>651</v>
      </c>
      <c r="E2364" s="39">
        <v>43597</v>
      </c>
      <c r="F2364" s="179">
        <v>0.35416666666666669</v>
      </c>
      <c r="G2364" s="180">
        <v>2</v>
      </c>
      <c r="H2364" s="180" t="s">
        <v>652</v>
      </c>
      <c r="I2364" s="180"/>
      <c r="J2364" s="180"/>
      <c r="K2364" s="180"/>
      <c r="L2364" s="180"/>
      <c r="M2364" s="180"/>
      <c r="N2364" s="180"/>
      <c r="O2364" s="180"/>
      <c r="P2364" s="180"/>
    </row>
    <row r="2365" spans="1:16" x14ac:dyDescent="0.45">
      <c r="A2365" s="180" t="s">
        <v>8</v>
      </c>
      <c r="B2365" s="73">
        <v>5</v>
      </c>
      <c r="C2365" s="73">
        <v>5</v>
      </c>
      <c r="D2365" s="180" t="s">
        <v>631</v>
      </c>
      <c r="E2365" s="39">
        <v>43597</v>
      </c>
      <c r="F2365" s="179">
        <v>0.43402777777777773</v>
      </c>
      <c r="G2365" s="180">
        <v>2</v>
      </c>
      <c r="H2365" s="180"/>
      <c r="I2365" s="180"/>
      <c r="J2365" s="180"/>
      <c r="K2365" s="180"/>
      <c r="L2365" s="180"/>
      <c r="M2365" s="180"/>
      <c r="N2365" s="180"/>
      <c r="O2365" s="180"/>
      <c r="P2365" s="180"/>
    </row>
    <row r="2366" spans="1:16" x14ac:dyDescent="0.45">
      <c r="A2366" s="1" t="s">
        <v>273</v>
      </c>
      <c r="B2366" s="73"/>
      <c r="C2366" s="73">
        <f>SUM(C2361:C2365)</f>
        <v>6</v>
      </c>
      <c r="D2366" s="180"/>
      <c r="E2366" s="39"/>
      <c r="F2366" s="179"/>
      <c r="G2366" s="180"/>
      <c r="H2366" s="180"/>
      <c r="I2366" s="180"/>
      <c r="J2366" s="180"/>
      <c r="K2366" s="180"/>
      <c r="L2366" s="180"/>
      <c r="M2366" s="180"/>
      <c r="N2366" s="180"/>
      <c r="O2366" s="180"/>
      <c r="P2366" s="180"/>
    </row>
    <row r="2367" spans="1:16" x14ac:dyDescent="0.45">
      <c r="A2367" s="180"/>
      <c r="B2367" s="73"/>
      <c r="C2367" s="73"/>
      <c r="D2367" s="180"/>
      <c r="E2367" s="39"/>
      <c r="F2367" s="179"/>
      <c r="G2367" s="180"/>
      <c r="H2367" s="180"/>
      <c r="I2367" s="180"/>
      <c r="J2367" s="180"/>
      <c r="K2367" s="180"/>
      <c r="L2367" s="180"/>
      <c r="M2367" s="180"/>
      <c r="N2367" s="180"/>
      <c r="O2367" s="180"/>
      <c r="P2367" s="180"/>
    </row>
    <row r="2368" spans="1:16" x14ac:dyDescent="0.45">
      <c r="A2368" s="180" t="s">
        <v>11</v>
      </c>
      <c r="B2368" s="73">
        <v>16</v>
      </c>
      <c r="C2368" s="73">
        <v>16</v>
      </c>
      <c r="D2368" s="180" t="s">
        <v>600</v>
      </c>
      <c r="E2368" s="39">
        <v>43593</v>
      </c>
      <c r="F2368" s="179">
        <v>0.79652777777777783</v>
      </c>
      <c r="G2368" s="180">
        <v>1</v>
      </c>
      <c r="H2368" s="180"/>
      <c r="I2368" s="180"/>
      <c r="J2368" s="180"/>
      <c r="K2368" s="180"/>
      <c r="L2368" s="180"/>
      <c r="M2368" s="180"/>
      <c r="N2368" s="180"/>
      <c r="O2368" s="180"/>
      <c r="P2368" s="180"/>
    </row>
    <row r="2369" spans="1:16" x14ac:dyDescent="0.45">
      <c r="A2369" s="180" t="s">
        <v>11</v>
      </c>
      <c r="B2369" s="73">
        <v>16</v>
      </c>
      <c r="C2369" s="73"/>
      <c r="D2369" s="180" t="s">
        <v>602</v>
      </c>
      <c r="E2369" s="39">
        <v>43593</v>
      </c>
      <c r="F2369" s="179">
        <v>0.80208333333333337</v>
      </c>
      <c r="G2369" s="180">
        <v>9</v>
      </c>
      <c r="H2369" s="180" t="s">
        <v>622</v>
      </c>
      <c r="I2369" s="180"/>
      <c r="J2369" s="180"/>
      <c r="K2369" s="180"/>
      <c r="L2369" s="180"/>
      <c r="M2369" s="180"/>
      <c r="N2369" s="180"/>
      <c r="O2369" s="180"/>
      <c r="P2369" s="180"/>
    </row>
    <row r="2370" spans="1:16" x14ac:dyDescent="0.45">
      <c r="A2370" s="180" t="s">
        <v>11</v>
      </c>
      <c r="B2370" s="73">
        <v>65</v>
      </c>
      <c r="C2370" s="73">
        <v>65</v>
      </c>
      <c r="D2370" s="180" t="s">
        <v>600</v>
      </c>
      <c r="E2370" s="39">
        <v>43594</v>
      </c>
      <c r="F2370" s="179">
        <v>0.37222222222222223</v>
      </c>
      <c r="G2370" s="180">
        <v>24</v>
      </c>
      <c r="H2370" s="180"/>
      <c r="I2370" s="180"/>
      <c r="J2370" s="180"/>
      <c r="K2370" s="180"/>
      <c r="L2370" s="180"/>
      <c r="M2370" s="180"/>
      <c r="N2370" s="180"/>
      <c r="O2370" s="180"/>
      <c r="P2370" s="180"/>
    </row>
    <row r="2371" spans="1:16" x14ac:dyDescent="0.45">
      <c r="A2371" s="180" t="s">
        <v>11</v>
      </c>
      <c r="B2371" s="73">
        <v>65</v>
      </c>
      <c r="C2371" s="73"/>
      <c r="D2371" s="180" t="s">
        <v>600</v>
      </c>
      <c r="E2371" s="39">
        <v>43594</v>
      </c>
      <c r="F2371" s="179">
        <v>0.37222222222222223</v>
      </c>
      <c r="G2371" s="180">
        <v>24</v>
      </c>
      <c r="H2371" s="180"/>
      <c r="I2371" s="180"/>
      <c r="J2371" s="180"/>
      <c r="K2371" s="180"/>
      <c r="L2371" s="180"/>
      <c r="M2371" s="180"/>
      <c r="N2371" s="180"/>
      <c r="O2371" s="180"/>
      <c r="P2371" s="180"/>
    </row>
    <row r="2372" spans="1:16" x14ac:dyDescent="0.45">
      <c r="A2372" s="180" t="s">
        <v>11</v>
      </c>
      <c r="B2372" s="73">
        <v>65</v>
      </c>
      <c r="C2372" s="73"/>
      <c r="D2372" s="180" t="s">
        <v>600</v>
      </c>
      <c r="E2372" s="39">
        <v>43594</v>
      </c>
      <c r="F2372" s="179">
        <v>0.37222222222222223</v>
      </c>
      <c r="G2372" s="180">
        <v>24</v>
      </c>
      <c r="H2372" s="180"/>
      <c r="I2372" s="180"/>
      <c r="J2372" s="180"/>
      <c r="K2372" s="180"/>
      <c r="L2372" s="180"/>
      <c r="M2372" s="180"/>
      <c r="N2372" s="180"/>
      <c r="O2372" s="180"/>
      <c r="P2372" s="180"/>
    </row>
    <row r="2373" spans="1:16" x14ac:dyDescent="0.45">
      <c r="A2373" s="180" t="s">
        <v>11</v>
      </c>
      <c r="B2373" s="73">
        <v>65</v>
      </c>
      <c r="C2373" s="73"/>
      <c r="D2373" s="180" t="s">
        <v>600</v>
      </c>
      <c r="E2373" s="39">
        <v>43594</v>
      </c>
      <c r="F2373" s="179">
        <v>0.37222222222222223</v>
      </c>
      <c r="G2373" s="180">
        <v>24</v>
      </c>
      <c r="H2373" s="180"/>
      <c r="I2373" s="180"/>
      <c r="J2373" s="180"/>
      <c r="K2373" s="180"/>
      <c r="L2373" s="180"/>
      <c r="M2373" s="180"/>
      <c r="N2373" s="180"/>
      <c r="O2373" s="180"/>
      <c r="P2373" s="180"/>
    </row>
    <row r="2374" spans="1:16" x14ac:dyDescent="0.45">
      <c r="A2374" s="180" t="s">
        <v>11</v>
      </c>
      <c r="B2374" s="73">
        <v>65</v>
      </c>
      <c r="C2374" s="73"/>
      <c r="D2374" s="180" t="s">
        <v>600</v>
      </c>
      <c r="E2374" s="39">
        <v>43594</v>
      </c>
      <c r="F2374" s="179">
        <v>0.37222222222222223</v>
      </c>
      <c r="G2374" s="180">
        <v>24</v>
      </c>
      <c r="H2374" s="180"/>
      <c r="I2374" s="180"/>
      <c r="J2374" s="180"/>
      <c r="K2374" s="180"/>
      <c r="L2374" s="180"/>
      <c r="M2374" s="180"/>
      <c r="N2374" s="180"/>
      <c r="O2374" s="180"/>
      <c r="P2374" s="180"/>
    </row>
    <row r="2375" spans="1:16" x14ac:dyDescent="0.45">
      <c r="A2375" s="180" t="s">
        <v>11</v>
      </c>
      <c r="B2375" s="73">
        <v>65</v>
      </c>
      <c r="C2375" s="73"/>
      <c r="D2375" s="180" t="s">
        <v>600</v>
      </c>
      <c r="E2375" s="39">
        <v>43594</v>
      </c>
      <c r="F2375" s="179">
        <v>0.37222222222222223</v>
      </c>
      <c r="G2375" s="180">
        <v>24</v>
      </c>
      <c r="H2375" s="180"/>
      <c r="I2375" s="180"/>
      <c r="J2375" s="180"/>
      <c r="K2375" s="180"/>
      <c r="L2375" s="180"/>
      <c r="M2375" s="180"/>
      <c r="N2375" s="180"/>
      <c r="O2375" s="180"/>
      <c r="P2375" s="180"/>
    </row>
    <row r="2376" spans="1:16" x14ac:dyDescent="0.45">
      <c r="A2376" s="180" t="s">
        <v>11</v>
      </c>
      <c r="B2376" s="73">
        <v>17</v>
      </c>
      <c r="C2376" s="73"/>
      <c r="D2376" s="180" t="s">
        <v>602</v>
      </c>
      <c r="E2376" s="39">
        <v>43594</v>
      </c>
      <c r="F2376" s="179">
        <v>0.5</v>
      </c>
      <c r="G2376" s="180">
        <v>1</v>
      </c>
      <c r="H2376" s="180"/>
      <c r="I2376" s="180"/>
      <c r="J2376" s="180"/>
      <c r="K2376" s="180"/>
      <c r="L2376" s="180"/>
      <c r="M2376" s="180"/>
      <c r="N2376" s="180"/>
      <c r="O2376" s="180"/>
      <c r="P2376" s="180"/>
    </row>
    <row r="2377" spans="1:16" x14ac:dyDescent="0.45">
      <c r="A2377" s="180" t="s">
        <v>11</v>
      </c>
      <c r="B2377" s="73">
        <v>25</v>
      </c>
      <c r="C2377" s="73"/>
      <c r="D2377" s="180" t="s">
        <v>600</v>
      </c>
      <c r="E2377" s="39">
        <v>43595</v>
      </c>
      <c r="F2377" s="179">
        <v>0.66180555555555554</v>
      </c>
      <c r="G2377" s="180">
        <v>3</v>
      </c>
      <c r="H2377" s="180"/>
      <c r="I2377" s="180"/>
      <c r="J2377" s="180"/>
      <c r="K2377" s="180"/>
      <c r="L2377" s="180"/>
      <c r="M2377" s="180"/>
      <c r="N2377" s="180"/>
      <c r="O2377" s="180"/>
      <c r="P2377" s="180"/>
    </row>
    <row r="2378" spans="1:16" x14ac:dyDescent="0.45">
      <c r="A2378" s="180" t="s">
        <v>11</v>
      </c>
      <c r="B2378" s="73">
        <v>50</v>
      </c>
      <c r="C2378" s="73">
        <v>50</v>
      </c>
      <c r="D2378" s="180" t="s">
        <v>600</v>
      </c>
      <c r="E2378" s="39">
        <v>43595</v>
      </c>
      <c r="F2378" s="179">
        <v>0.37361111111111112</v>
      </c>
      <c r="G2378" s="180">
        <v>24</v>
      </c>
      <c r="H2378" s="180"/>
      <c r="I2378" s="180"/>
      <c r="J2378" s="180"/>
      <c r="K2378" s="180"/>
      <c r="L2378" s="180"/>
      <c r="M2378" s="180"/>
      <c r="N2378" s="180"/>
      <c r="O2378" s="180"/>
      <c r="P2378" s="180"/>
    </row>
    <row r="2379" spans="1:16" x14ac:dyDescent="0.45">
      <c r="A2379" s="180" t="s">
        <v>11</v>
      </c>
      <c r="B2379" s="73">
        <v>50</v>
      </c>
      <c r="C2379" s="73"/>
      <c r="D2379" s="180" t="s">
        <v>600</v>
      </c>
      <c r="E2379" s="39">
        <v>43595</v>
      </c>
      <c r="F2379" s="179">
        <v>0.37361111111111112</v>
      </c>
      <c r="G2379" s="180">
        <v>24</v>
      </c>
      <c r="H2379" s="180"/>
      <c r="I2379" s="180"/>
      <c r="J2379" s="180"/>
      <c r="K2379" s="180"/>
      <c r="L2379" s="180"/>
      <c r="M2379" s="180"/>
      <c r="N2379" s="180"/>
      <c r="O2379" s="180"/>
      <c r="P2379" s="180"/>
    </row>
    <row r="2380" spans="1:16" x14ac:dyDescent="0.45">
      <c r="A2380" s="180" t="s">
        <v>11</v>
      </c>
      <c r="B2380" s="73">
        <v>9</v>
      </c>
      <c r="C2380" s="73"/>
      <c r="D2380" s="180" t="s">
        <v>600</v>
      </c>
      <c r="E2380" s="39">
        <v>43595</v>
      </c>
      <c r="F2380" s="179">
        <v>0.56666666666666665</v>
      </c>
      <c r="G2380" s="180">
        <v>3</v>
      </c>
      <c r="H2380" s="180"/>
      <c r="I2380" s="180"/>
      <c r="J2380" s="180"/>
      <c r="K2380" s="180"/>
      <c r="L2380" s="180"/>
      <c r="M2380" s="180"/>
      <c r="N2380" s="180"/>
      <c r="O2380" s="180"/>
      <c r="P2380" s="180"/>
    </row>
    <row r="2381" spans="1:16" x14ac:dyDescent="0.45">
      <c r="A2381" s="180" t="s">
        <v>11</v>
      </c>
      <c r="B2381" s="73">
        <v>50</v>
      </c>
      <c r="C2381" s="73"/>
      <c r="D2381" s="180" t="s">
        <v>600</v>
      </c>
      <c r="E2381" s="39">
        <v>43595</v>
      </c>
      <c r="F2381" s="179">
        <v>0.37361111111111112</v>
      </c>
      <c r="G2381" s="180">
        <v>24</v>
      </c>
      <c r="H2381" s="180"/>
      <c r="I2381" s="180"/>
      <c r="J2381" s="180"/>
      <c r="K2381" s="180"/>
      <c r="L2381" s="180"/>
      <c r="M2381" s="180"/>
      <c r="N2381" s="180"/>
      <c r="O2381" s="180"/>
      <c r="P2381" s="180"/>
    </row>
    <row r="2382" spans="1:16" x14ac:dyDescent="0.45">
      <c r="A2382" s="180" t="s">
        <v>11</v>
      </c>
      <c r="B2382" s="73">
        <v>2</v>
      </c>
      <c r="C2382" s="73"/>
      <c r="D2382" s="180" t="s">
        <v>600</v>
      </c>
      <c r="E2382" s="39">
        <v>43595</v>
      </c>
      <c r="F2382" s="179">
        <v>0.78055555555555556</v>
      </c>
      <c r="G2382" s="180">
        <v>1</v>
      </c>
      <c r="H2382" s="180"/>
      <c r="I2382" s="180"/>
      <c r="J2382" s="180"/>
      <c r="K2382" s="180"/>
      <c r="L2382" s="180"/>
      <c r="M2382" s="180"/>
      <c r="N2382" s="180"/>
      <c r="O2382" s="180"/>
      <c r="P2382" s="180"/>
    </row>
    <row r="2383" spans="1:16" x14ac:dyDescent="0.45">
      <c r="A2383" s="180" t="s">
        <v>11</v>
      </c>
      <c r="B2383" s="73">
        <v>9</v>
      </c>
      <c r="C2383" s="73"/>
      <c r="D2383" s="180" t="s">
        <v>600</v>
      </c>
      <c r="E2383" s="39">
        <v>43595</v>
      </c>
      <c r="F2383" s="179">
        <v>0.56666666666666665</v>
      </c>
      <c r="G2383" s="180">
        <v>3</v>
      </c>
      <c r="H2383" s="180"/>
      <c r="I2383" s="180"/>
      <c r="J2383" s="180"/>
      <c r="K2383" s="180"/>
      <c r="L2383" s="180"/>
      <c r="M2383" s="180"/>
      <c r="N2383" s="180"/>
      <c r="O2383" s="180"/>
      <c r="P2383" s="180"/>
    </row>
    <row r="2384" spans="1:16" x14ac:dyDescent="0.45">
      <c r="A2384" s="180" t="s">
        <v>11</v>
      </c>
      <c r="B2384" s="73">
        <v>40</v>
      </c>
      <c r="C2384" s="73"/>
      <c r="D2384" s="180" t="s">
        <v>600</v>
      </c>
      <c r="E2384" s="39">
        <v>43595</v>
      </c>
      <c r="F2384" s="179">
        <v>0.61249999999999993</v>
      </c>
      <c r="G2384" s="180">
        <v>2</v>
      </c>
      <c r="H2384" s="180" t="s">
        <v>612</v>
      </c>
      <c r="I2384" s="180"/>
      <c r="J2384" s="180"/>
      <c r="K2384" s="180"/>
      <c r="L2384" s="180"/>
      <c r="M2384" s="180"/>
      <c r="N2384" s="180"/>
      <c r="O2384" s="180"/>
      <c r="P2384" s="180"/>
    </row>
    <row r="2385" spans="1:16" x14ac:dyDescent="0.45">
      <c r="A2385" s="180" t="s">
        <v>11</v>
      </c>
      <c r="B2385" s="73">
        <v>40</v>
      </c>
      <c r="C2385" s="73"/>
      <c r="D2385" s="180" t="s">
        <v>600</v>
      </c>
      <c r="E2385" s="39">
        <v>43595</v>
      </c>
      <c r="F2385" s="179">
        <v>0.61249999999999993</v>
      </c>
      <c r="G2385" s="180">
        <v>2</v>
      </c>
      <c r="H2385" s="180" t="s">
        <v>612</v>
      </c>
      <c r="I2385" s="180"/>
      <c r="J2385" s="180"/>
      <c r="K2385" s="180"/>
      <c r="L2385" s="180"/>
      <c r="M2385" s="180"/>
      <c r="N2385" s="180"/>
      <c r="O2385" s="180"/>
      <c r="P2385" s="180"/>
    </row>
    <row r="2386" spans="1:16" x14ac:dyDescent="0.45">
      <c r="A2386" s="180" t="s">
        <v>11</v>
      </c>
      <c r="B2386" s="73">
        <v>50</v>
      </c>
      <c r="C2386" s="73"/>
      <c r="D2386" s="180" t="s">
        <v>600</v>
      </c>
      <c r="E2386" s="39">
        <v>43595</v>
      </c>
      <c r="F2386" s="179">
        <v>0.37361111111111112</v>
      </c>
      <c r="G2386" s="180">
        <v>24</v>
      </c>
      <c r="H2386" s="180"/>
      <c r="I2386" s="180"/>
      <c r="J2386" s="180"/>
      <c r="K2386" s="180"/>
      <c r="L2386" s="180"/>
      <c r="M2386" s="180"/>
      <c r="N2386" s="180"/>
      <c r="O2386" s="180"/>
      <c r="P2386" s="180"/>
    </row>
    <row r="2387" spans="1:16" x14ac:dyDescent="0.45">
      <c r="A2387" s="180" t="s">
        <v>11</v>
      </c>
      <c r="B2387" s="73">
        <v>9</v>
      </c>
      <c r="C2387" s="73"/>
      <c r="D2387" s="180" t="s">
        <v>600</v>
      </c>
      <c r="E2387" s="39">
        <v>43595</v>
      </c>
      <c r="F2387" s="179">
        <v>0.56666666666666665</v>
      </c>
      <c r="G2387" s="180">
        <v>3</v>
      </c>
      <c r="H2387" s="180"/>
      <c r="I2387" s="180"/>
      <c r="J2387" s="180"/>
      <c r="K2387" s="180"/>
      <c r="L2387" s="180"/>
      <c r="M2387" s="180"/>
      <c r="N2387" s="180"/>
      <c r="O2387" s="180"/>
      <c r="P2387" s="180"/>
    </row>
    <row r="2388" spans="1:16" x14ac:dyDescent="0.45">
      <c r="A2388" s="180" t="s">
        <v>11</v>
      </c>
      <c r="B2388" s="73">
        <v>50</v>
      </c>
      <c r="C2388" s="73"/>
      <c r="D2388" s="180" t="s">
        <v>600</v>
      </c>
      <c r="E2388" s="39">
        <v>43595</v>
      </c>
      <c r="F2388" s="179">
        <v>0.37361111111111112</v>
      </c>
      <c r="G2388" s="180">
        <v>24</v>
      </c>
      <c r="H2388" s="180"/>
      <c r="I2388" s="180"/>
      <c r="J2388" s="180"/>
      <c r="K2388" s="180"/>
      <c r="L2388" s="180"/>
      <c r="M2388" s="180"/>
      <c r="N2388" s="180"/>
      <c r="O2388" s="180"/>
      <c r="P2388" s="180"/>
    </row>
    <row r="2389" spans="1:16" x14ac:dyDescent="0.45">
      <c r="A2389" s="180" t="s">
        <v>11</v>
      </c>
      <c r="B2389" s="73">
        <v>50</v>
      </c>
      <c r="C2389" s="73"/>
      <c r="D2389" s="180" t="s">
        <v>600</v>
      </c>
      <c r="E2389" s="39">
        <v>43595</v>
      </c>
      <c r="F2389" s="179">
        <v>0.37361111111111112</v>
      </c>
      <c r="G2389" s="180">
        <v>24</v>
      </c>
      <c r="H2389" s="180"/>
      <c r="I2389" s="180"/>
      <c r="J2389" s="180"/>
      <c r="K2389" s="180"/>
      <c r="L2389" s="180"/>
      <c r="M2389" s="180"/>
      <c r="N2389" s="180"/>
      <c r="O2389" s="180"/>
      <c r="P2389" s="180"/>
    </row>
    <row r="2390" spans="1:16" x14ac:dyDescent="0.45">
      <c r="A2390" s="180" t="s">
        <v>11</v>
      </c>
      <c r="B2390" s="73">
        <v>8</v>
      </c>
      <c r="C2390" s="73"/>
      <c r="D2390" s="180" t="s">
        <v>600</v>
      </c>
      <c r="E2390" s="39">
        <v>43595</v>
      </c>
      <c r="F2390" s="179">
        <v>0.64583333333333337</v>
      </c>
      <c r="G2390" s="180">
        <v>4</v>
      </c>
      <c r="H2390" s="180" t="s">
        <v>623</v>
      </c>
      <c r="I2390" s="180"/>
      <c r="J2390" s="180"/>
      <c r="K2390" s="180"/>
      <c r="L2390" s="180"/>
      <c r="M2390" s="180"/>
      <c r="N2390" s="180"/>
      <c r="O2390" s="180"/>
      <c r="P2390" s="180"/>
    </row>
    <row r="2391" spans="1:16" x14ac:dyDescent="0.45">
      <c r="A2391" s="180" t="s">
        <v>11</v>
      </c>
      <c r="B2391" s="73">
        <v>10</v>
      </c>
      <c r="C2391" s="73"/>
      <c r="D2391" s="180" t="s">
        <v>600</v>
      </c>
      <c r="E2391" s="39">
        <v>43595</v>
      </c>
      <c r="F2391" s="179">
        <v>0.51111111111111118</v>
      </c>
      <c r="G2391" s="180">
        <v>1</v>
      </c>
      <c r="H2391" s="180"/>
      <c r="I2391" s="180"/>
      <c r="J2391" s="180"/>
      <c r="K2391" s="180"/>
      <c r="L2391" s="180"/>
      <c r="M2391" s="180"/>
      <c r="N2391" s="180"/>
      <c r="O2391" s="180"/>
      <c r="P2391" s="180"/>
    </row>
    <row r="2392" spans="1:16" x14ac:dyDescent="0.45">
      <c r="A2392" s="180" t="s">
        <v>11</v>
      </c>
      <c r="B2392" s="73">
        <v>30</v>
      </c>
      <c r="C2392" s="73"/>
      <c r="D2392" s="180" t="s">
        <v>600</v>
      </c>
      <c r="E2392" s="39">
        <v>43595</v>
      </c>
      <c r="F2392" s="179">
        <v>0.60416666666666663</v>
      </c>
      <c r="G2392" s="180">
        <v>2</v>
      </c>
      <c r="H2392" s="180"/>
      <c r="I2392" s="180"/>
      <c r="J2392" s="180"/>
      <c r="K2392" s="180"/>
      <c r="L2392" s="180"/>
      <c r="M2392" s="180"/>
      <c r="N2392" s="180"/>
      <c r="O2392" s="180"/>
      <c r="P2392" s="180"/>
    </row>
    <row r="2393" spans="1:16" x14ac:dyDescent="0.45">
      <c r="A2393" s="180" t="s">
        <v>11</v>
      </c>
      <c r="B2393" s="73">
        <v>30</v>
      </c>
      <c r="C2393" s="73"/>
      <c r="D2393" s="180" t="s">
        <v>602</v>
      </c>
      <c r="E2393" s="39">
        <v>43595</v>
      </c>
      <c r="F2393" s="179">
        <v>0.43472222222222223</v>
      </c>
      <c r="G2393" s="180">
        <v>1</v>
      </c>
      <c r="H2393" s="180"/>
      <c r="I2393" s="180"/>
      <c r="J2393" s="180"/>
      <c r="K2393" s="180"/>
      <c r="L2393" s="180"/>
      <c r="M2393" s="180"/>
      <c r="N2393" s="180"/>
      <c r="O2393" s="180"/>
      <c r="P2393" s="180"/>
    </row>
    <row r="2394" spans="1:16" x14ac:dyDescent="0.45">
      <c r="A2394" s="180" t="s">
        <v>11</v>
      </c>
      <c r="B2394" s="73">
        <v>15</v>
      </c>
      <c r="C2394" s="73"/>
      <c r="D2394" s="180" t="s">
        <v>602</v>
      </c>
      <c r="E2394" s="39">
        <v>43595</v>
      </c>
      <c r="F2394" s="179">
        <v>0.64861111111111114</v>
      </c>
      <c r="G2394" s="180">
        <v>3</v>
      </c>
      <c r="H2394" s="180"/>
      <c r="I2394" s="180"/>
      <c r="J2394" s="180"/>
      <c r="K2394" s="180"/>
      <c r="L2394" s="180"/>
      <c r="M2394" s="180"/>
      <c r="N2394" s="180"/>
      <c r="O2394" s="180"/>
      <c r="P2394" s="180"/>
    </row>
    <row r="2395" spans="1:16" x14ac:dyDescent="0.45">
      <c r="A2395" s="180" t="s">
        <v>11</v>
      </c>
      <c r="B2395" s="73">
        <v>2</v>
      </c>
      <c r="C2395" s="73"/>
      <c r="D2395" s="180" t="s">
        <v>624</v>
      </c>
      <c r="E2395" s="39">
        <v>43596</v>
      </c>
      <c r="F2395" s="179">
        <v>0.50486111111111109</v>
      </c>
      <c r="G2395" s="180">
        <v>1</v>
      </c>
      <c r="H2395" s="180"/>
      <c r="I2395" s="180"/>
      <c r="J2395" s="180"/>
      <c r="K2395" s="180"/>
      <c r="L2395" s="180"/>
      <c r="M2395" s="180"/>
      <c r="N2395" s="180"/>
      <c r="O2395" s="180"/>
      <c r="P2395" s="180"/>
    </row>
    <row r="2396" spans="1:16" x14ac:dyDescent="0.45">
      <c r="A2396" s="180" t="s">
        <v>11</v>
      </c>
      <c r="B2396" s="73">
        <v>2</v>
      </c>
      <c r="C2396" s="73"/>
      <c r="D2396" s="180" t="s">
        <v>624</v>
      </c>
      <c r="E2396" s="39">
        <v>43596</v>
      </c>
      <c r="F2396" s="179">
        <v>0.50486111111111109</v>
      </c>
      <c r="G2396" s="180">
        <v>1</v>
      </c>
      <c r="H2396" s="180"/>
      <c r="I2396" s="180"/>
      <c r="J2396" s="180"/>
      <c r="K2396" s="180"/>
      <c r="L2396" s="180"/>
      <c r="M2396" s="180"/>
      <c r="N2396" s="180"/>
      <c r="O2396" s="180"/>
      <c r="P2396" s="180"/>
    </row>
    <row r="2397" spans="1:16" x14ac:dyDescent="0.45">
      <c r="A2397" s="180" t="s">
        <v>11</v>
      </c>
      <c r="B2397" s="73">
        <v>10</v>
      </c>
      <c r="C2397" s="73"/>
      <c r="D2397" s="180" t="s">
        <v>600</v>
      </c>
      <c r="E2397" s="39">
        <v>43596</v>
      </c>
      <c r="F2397" s="179">
        <v>0.4458333333333333</v>
      </c>
      <c r="G2397" s="180">
        <v>1</v>
      </c>
      <c r="H2397" s="180"/>
      <c r="I2397" s="180"/>
      <c r="J2397" s="180"/>
      <c r="K2397" s="180"/>
      <c r="L2397" s="180"/>
      <c r="M2397" s="180"/>
      <c r="N2397" s="180"/>
      <c r="O2397" s="180"/>
      <c r="P2397" s="180"/>
    </row>
    <row r="2398" spans="1:16" x14ac:dyDescent="0.45">
      <c r="A2398" s="180" t="s">
        <v>11</v>
      </c>
      <c r="B2398" s="73">
        <v>8</v>
      </c>
      <c r="C2398" s="73"/>
      <c r="D2398" s="180" t="s">
        <v>600</v>
      </c>
      <c r="E2398" s="39">
        <v>43596</v>
      </c>
      <c r="F2398" s="179">
        <v>0.3125</v>
      </c>
      <c r="G2398" s="180">
        <v>4</v>
      </c>
      <c r="H2398" s="180" t="s">
        <v>629</v>
      </c>
      <c r="I2398" s="180"/>
      <c r="J2398" s="180"/>
      <c r="K2398" s="180"/>
      <c r="L2398" s="180"/>
      <c r="M2398" s="180"/>
      <c r="N2398" s="180"/>
      <c r="O2398" s="180"/>
      <c r="P2398" s="180"/>
    </row>
    <row r="2399" spans="1:16" x14ac:dyDescent="0.45">
      <c r="A2399" s="180" t="s">
        <v>11</v>
      </c>
      <c r="B2399" s="73">
        <v>35</v>
      </c>
      <c r="C2399" s="73"/>
      <c r="D2399" s="180" t="s">
        <v>600</v>
      </c>
      <c r="E2399" s="39">
        <v>43596</v>
      </c>
      <c r="F2399" s="179">
        <v>0.44166666666666665</v>
      </c>
      <c r="G2399" s="180">
        <v>20</v>
      </c>
      <c r="H2399" s="180"/>
      <c r="I2399" s="180"/>
      <c r="J2399" s="180"/>
      <c r="K2399" s="180"/>
      <c r="L2399" s="180"/>
      <c r="M2399" s="180"/>
      <c r="N2399" s="180"/>
      <c r="O2399" s="180"/>
      <c r="P2399" s="180"/>
    </row>
    <row r="2400" spans="1:16" x14ac:dyDescent="0.45">
      <c r="A2400" s="180" t="s">
        <v>11</v>
      </c>
      <c r="B2400" s="73">
        <v>8</v>
      </c>
      <c r="C2400" s="73"/>
      <c r="D2400" s="180" t="s">
        <v>600</v>
      </c>
      <c r="E2400" s="39">
        <v>43596</v>
      </c>
      <c r="F2400" s="179">
        <v>0.28125</v>
      </c>
      <c r="G2400" s="180">
        <v>2</v>
      </c>
      <c r="H2400" s="180" t="s">
        <v>613</v>
      </c>
      <c r="I2400" s="180"/>
      <c r="J2400" s="180"/>
      <c r="K2400" s="180"/>
      <c r="L2400" s="180"/>
      <c r="M2400" s="180"/>
      <c r="N2400" s="180"/>
      <c r="O2400" s="180"/>
      <c r="P2400" s="180"/>
    </row>
    <row r="2401" spans="1:16" x14ac:dyDescent="0.45">
      <c r="A2401" s="180" t="s">
        <v>11</v>
      </c>
      <c r="B2401" s="73">
        <v>20</v>
      </c>
      <c r="C2401" s="73"/>
      <c r="D2401" s="180" t="s">
        <v>600</v>
      </c>
      <c r="E2401" s="39">
        <v>43596</v>
      </c>
      <c r="F2401" s="179">
        <v>0.38194444444444442</v>
      </c>
      <c r="G2401" s="180">
        <v>2</v>
      </c>
      <c r="H2401" s="180"/>
      <c r="I2401" s="180"/>
      <c r="J2401" s="180"/>
      <c r="K2401" s="180"/>
      <c r="L2401" s="180"/>
      <c r="M2401" s="180"/>
      <c r="N2401" s="180"/>
      <c r="O2401" s="180"/>
      <c r="P2401" s="180"/>
    </row>
    <row r="2402" spans="1:16" x14ac:dyDescent="0.45">
      <c r="A2402" s="180" t="s">
        <v>11</v>
      </c>
      <c r="B2402" s="73">
        <v>50</v>
      </c>
      <c r="C2402" s="73"/>
      <c r="D2402" s="180" t="s">
        <v>600</v>
      </c>
      <c r="E2402" s="39">
        <v>43596</v>
      </c>
      <c r="F2402" s="179">
        <v>0.38055555555555554</v>
      </c>
      <c r="G2402" s="180">
        <v>20</v>
      </c>
      <c r="H2402" s="180" t="s">
        <v>604</v>
      </c>
      <c r="I2402" s="180" t="s">
        <v>377</v>
      </c>
      <c r="J2402" s="180"/>
      <c r="K2402" s="180"/>
      <c r="L2402" s="180"/>
      <c r="M2402" s="180"/>
      <c r="N2402" s="180"/>
      <c r="O2402" s="180"/>
      <c r="P2402" s="180"/>
    </row>
    <row r="2403" spans="1:16" x14ac:dyDescent="0.45">
      <c r="A2403" s="180" t="s">
        <v>11</v>
      </c>
      <c r="B2403" s="73">
        <v>9</v>
      </c>
      <c r="C2403" s="73"/>
      <c r="D2403" s="180" t="s">
        <v>600</v>
      </c>
      <c r="E2403" s="39">
        <v>43596</v>
      </c>
      <c r="F2403" s="179">
        <v>0.28194444444444444</v>
      </c>
      <c r="G2403" s="180">
        <v>1</v>
      </c>
      <c r="H2403" s="180"/>
      <c r="I2403" s="180"/>
      <c r="J2403" s="180"/>
      <c r="K2403" s="180"/>
      <c r="L2403" s="180"/>
      <c r="M2403" s="180"/>
      <c r="N2403" s="180"/>
      <c r="O2403" s="180"/>
      <c r="P2403" s="180"/>
    </row>
    <row r="2404" spans="1:16" x14ac:dyDescent="0.45">
      <c r="A2404" s="180" t="s">
        <v>11</v>
      </c>
      <c r="B2404" s="73">
        <v>200</v>
      </c>
      <c r="C2404" s="73">
        <v>200</v>
      </c>
      <c r="D2404" s="180" t="s">
        <v>602</v>
      </c>
      <c r="E2404" s="39">
        <v>43596</v>
      </c>
      <c r="F2404" s="179">
        <v>0.33749999999999997</v>
      </c>
      <c r="G2404" s="180">
        <v>1</v>
      </c>
      <c r="H2404" s="180"/>
      <c r="I2404" s="180"/>
    </row>
    <row r="2405" spans="1:16" x14ac:dyDescent="0.45">
      <c r="A2405" s="180" t="s">
        <v>11</v>
      </c>
      <c r="B2405" s="73">
        <v>20</v>
      </c>
      <c r="C2405" s="73"/>
      <c r="D2405" s="180" t="s">
        <v>602</v>
      </c>
      <c r="E2405" s="39">
        <v>43596</v>
      </c>
      <c r="F2405" s="179">
        <v>0.33333333333333331</v>
      </c>
      <c r="G2405" s="180">
        <v>2</v>
      </c>
      <c r="H2405" s="180"/>
      <c r="I2405" s="180"/>
    </row>
    <row r="2406" spans="1:16" x14ac:dyDescent="0.45">
      <c r="A2406" s="180" t="s">
        <v>11</v>
      </c>
      <c r="B2406" s="73">
        <v>200</v>
      </c>
      <c r="C2406" s="73"/>
      <c r="D2406" s="180" t="s">
        <v>602</v>
      </c>
      <c r="E2406" s="39">
        <v>43596</v>
      </c>
      <c r="F2406" s="179">
        <v>0.33749999999999997</v>
      </c>
      <c r="G2406" s="180">
        <v>1</v>
      </c>
      <c r="H2406" s="180"/>
      <c r="I2406" s="180"/>
    </row>
    <row r="2407" spans="1:16" x14ac:dyDescent="0.45">
      <c r="A2407" s="180" t="s">
        <v>11</v>
      </c>
      <c r="B2407" s="73">
        <v>3</v>
      </c>
      <c r="C2407" s="73"/>
      <c r="D2407" s="180" t="s">
        <v>624</v>
      </c>
      <c r="E2407" s="39">
        <v>43596</v>
      </c>
      <c r="F2407" s="179">
        <v>0.50486111111111109</v>
      </c>
      <c r="G2407" s="180">
        <v>1</v>
      </c>
      <c r="H2407" s="180"/>
      <c r="I2407" s="180"/>
    </row>
    <row r="2408" spans="1:16" x14ac:dyDescent="0.45">
      <c r="A2408" s="180" t="s">
        <v>11</v>
      </c>
      <c r="B2408" s="73">
        <v>21</v>
      </c>
      <c r="C2408" s="73"/>
      <c r="D2408" s="180" t="s">
        <v>632</v>
      </c>
      <c r="E2408" s="39">
        <v>43597</v>
      </c>
      <c r="F2408" s="179">
        <v>0.49444444444444446</v>
      </c>
      <c r="G2408" s="180">
        <v>1</v>
      </c>
      <c r="H2408" s="180"/>
      <c r="I2408" s="180"/>
    </row>
    <row r="2409" spans="1:16" x14ac:dyDescent="0.45">
      <c r="A2409" s="180" t="s">
        <v>11</v>
      </c>
      <c r="B2409" s="73">
        <v>12</v>
      </c>
      <c r="C2409" s="73"/>
      <c r="D2409" s="180" t="s">
        <v>600</v>
      </c>
      <c r="E2409" s="39">
        <v>43597</v>
      </c>
      <c r="F2409" s="179">
        <v>0.5083333333333333</v>
      </c>
      <c r="G2409" s="180">
        <v>1</v>
      </c>
      <c r="H2409" s="180"/>
      <c r="I2409" s="180"/>
    </row>
    <row r="2410" spans="1:16" x14ac:dyDescent="0.45">
      <c r="A2410" s="180" t="s">
        <v>11</v>
      </c>
      <c r="B2410" s="73">
        <v>200</v>
      </c>
      <c r="C2410" s="73">
        <v>200</v>
      </c>
      <c r="D2410" s="180" t="s">
        <v>600</v>
      </c>
      <c r="E2410" s="39">
        <v>43597</v>
      </c>
      <c r="F2410" s="179">
        <v>0.28819444444444448</v>
      </c>
      <c r="G2410" s="180">
        <v>6</v>
      </c>
      <c r="H2410" s="180" t="s">
        <v>609</v>
      </c>
      <c r="I2410" s="180"/>
    </row>
    <row r="2411" spans="1:16" x14ac:dyDescent="0.45">
      <c r="A2411" s="180" t="s">
        <v>11</v>
      </c>
      <c r="B2411" s="73">
        <v>10</v>
      </c>
      <c r="C2411" s="73"/>
      <c r="D2411" s="180" t="s">
        <v>600</v>
      </c>
      <c r="E2411" s="39">
        <v>43597</v>
      </c>
      <c r="F2411" s="179">
        <v>0.44444444444444442</v>
      </c>
      <c r="G2411" s="180">
        <v>3</v>
      </c>
      <c r="H2411" s="180"/>
      <c r="I2411" s="180"/>
    </row>
    <row r="2412" spans="1:16" x14ac:dyDescent="0.45">
      <c r="A2412" s="180" t="s">
        <v>11</v>
      </c>
      <c r="B2412" s="73">
        <v>20</v>
      </c>
      <c r="C2412" s="73"/>
      <c r="D2412" s="180" t="s">
        <v>600</v>
      </c>
      <c r="E2412" s="39">
        <v>43597</v>
      </c>
      <c r="F2412" s="179">
        <v>0.42430555555555555</v>
      </c>
      <c r="G2412" s="180">
        <v>3</v>
      </c>
      <c r="H2412" s="180"/>
      <c r="I2412" s="180"/>
    </row>
    <row r="2413" spans="1:16" x14ac:dyDescent="0.45">
      <c r="A2413" s="180" t="s">
        <v>11</v>
      </c>
      <c r="B2413" s="73">
        <v>4</v>
      </c>
      <c r="C2413" s="73"/>
      <c r="D2413" s="180" t="s">
        <v>600</v>
      </c>
      <c r="E2413" s="39">
        <v>43597</v>
      </c>
      <c r="F2413" s="179">
        <v>0.4375</v>
      </c>
      <c r="G2413" s="180">
        <v>12</v>
      </c>
      <c r="H2413" s="180" t="s">
        <v>615</v>
      </c>
      <c r="I2413" s="180"/>
    </row>
    <row r="2414" spans="1:16" x14ac:dyDescent="0.45">
      <c r="A2414" s="180" t="s">
        <v>11</v>
      </c>
      <c r="B2414" s="73">
        <v>1</v>
      </c>
      <c r="C2414" s="73"/>
      <c r="D2414" s="180" t="s">
        <v>600</v>
      </c>
      <c r="E2414" s="39">
        <v>43597</v>
      </c>
      <c r="F2414" s="179">
        <v>0.45555555555555555</v>
      </c>
      <c r="G2414" s="180">
        <v>4</v>
      </c>
      <c r="H2414" s="180"/>
      <c r="I2414" s="180"/>
    </row>
    <row r="2415" spans="1:16" x14ac:dyDescent="0.45">
      <c r="A2415" s="180" t="s">
        <v>11</v>
      </c>
      <c r="B2415" s="73">
        <v>19</v>
      </c>
      <c r="C2415" s="73"/>
      <c r="D2415" s="180" t="s">
        <v>600</v>
      </c>
      <c r="E2415" s="39">
        <v>43597</v>
      </c>
      <c r="F2415" s="179">
        <v>0.4826388888888889</v>
      </c>
      <c r="G2415" s="180">
        <v>10</v>
      </c>
      <c r="H2415" s="180" t="s">
        <v>614</v>
      </c>
      <c r="I2415" s="180"/>
    </row>
    <row r="2416" spans="1:16" x14ac:dyDescent="0.45">
      <c r="A2416" s="180" t="s">
        <v>11</v>
      </c>
      <c r="B2416" s="73">
        <v>43</v>
      </c>
      <c r="C2416" s="73"/>
      <c r="D2416" s="180" t="s">
        <v>600</v>
      </c>
      <c r="E2416" s="39">
        <v>43597</v>
      </c>
      <c r="F2416" s="179">
        <v>0.45763888888888887</v>
      </c>
      <c r="G2416" s="180">
        <v>3</v>
      </c>
      <c r="H2416" s="180"/>
      <c r="I2416" s="180"/>
    </row>
    <row r="2417" spans="1:9" x14ac:dyDescent="0.45">
      <c r="A2417" s="180" t="s">
        <v>11</v>
      </c>
      <c r="B2417" s="73">
        <v>25</v>
      </c>
      <c r="C2417" s="73"/>
      <c r="D2417" s="180" t="s">
        <v>600</v>
      </c>
      <c r="E2417" s="39">
        <v>43597</v>
      </c>
      <c r="F2417" s="179">
        <v>0.4375</v>
      </c>
      <c r="G2417" s="180">
        <v>4</v>
      </c>
      <c r="H2417" s="180" t="s">
        <v>633</v>
      </c>
      <c r="I2417" s="180"/>
    </row>
    <row r="2418" spans="1:9" x14ac:dyDescent="0.45">
      <c r="A2418" s="180" t="s">
        <v>11</v>
      </c>
      <c r="B2418" s="73">
        <v>40</v>
      </c>
      <c r="C2418" s="73"/>
      <c r="D2418" s="180" t="s">
        <v>600</v>
      </c>
      <c r="E2418" s="39">
        <v>43597</v>
      </c>
      <c r="F2418" s="179">
        <v>0.45833333333333331</v>
      </c>
      <c r="G2418" s="180">
        <v>3</v>
      </c>
      <c r="H2418" s="180"/>
      <c r="I2418" s="180"/>
    </row>
    <row r="2419" spans="1:9" x14ac:dyDescent="0.45">
      <c r="A2419" s="180" t="s">
        <v>11</v>
      </c>
      <c r="B2419" s="73">
        <v>15</v>
      </c>
      <c r="C2419" s="73"/>
      <c r="D2419" s="180" t="s">
        <v>600</v>
      </c>
      <c r="E2419" s="39">
        <v>43597</v>
      </c>
      <c r="F2419" s="179">
        <v>0.46527777777777773</v>
      </c>
      <c r="G2419" s="180">
        <v>1</v>
      </c>
      <c r="H2419" s="180" t="s">
        <v>610</v>
      </c>
      <c r="I2419" s="180"/>
    </row>
    <row r="2420" spans="1:9" x14ac:dyDescent="0.45">
      <c r="A2420" s="180" t="s">
        <v>11</v>
      </c>
      <c r="B2420" s="73">
        <v>23</v>
      </c>
      <c r="C2420" s="73"/>
      <c r="D2420" s="180" t="s">
        <v>626</v>
      </c>
      <c r="E2420" s="39">
        <v>43597</v>
      </c>
      <c r="F2420" s="179">
        <v>0.4548611111111111</v>
      </c>
      <c r="G2420" s="180">
        <v>2</v>
      </c>
      <c r="H2420" s="180"/>
      <c r="I2420" s="180"/>
    </row>
    <row r="2421" spans="1:9" x14ac:dyDescent="0.45">
      <c r="A2421" s="180" t="s">
        <v>11</v>
      </c>
      <c r="B2421" s="73">
        <v>16</v>
      </c>
      <c r="C2421" s="73"/>
      <c r="D2421" s="180" t="s">
        <v>602</v>
      </c>
      <c r="E2421" s="39">
        <v>43597</v>
      </c>
      <c r="F2421" s="179">
        <v>0.49027777777777781</v>
      </c>
      <c r="G2421" s="180">
        <v>9</v>
      </c>
      <c r="H2421" s="180" t="s">
        <v>616</v>
      </c>
      <c r="I2421" s="180"/>
    </row>
    <row r="2422" spans="1:9" x14ac:dyDescent="0.45">
      <c r="A2422" s="180" t="s">
        <v>11</v>
      </c>
      <c r="B2422" s="73">
        <v>20</v>
      </c>
      <c r="C2422" s="73"/>
      <c r="D2422" s="180" t="s">
        <v>639</v>
      </c>
      <c r="E2422" s="39">
        <v>43597</v>
      </c>
      <c r="F2422" s="179">
        <v>0.34027777777777773</v>
      </c>
      <c r="G2422" s="180">
        <v>2</v>
      </c>
      <c r="H2422" s="180"/>
      <c r="I2422" s="180"/>
    </row>
    <row r="2423" spans="1:9" x14ac:dyDescent="0.45">
      <c r="A2423" s="180" t="s">
        <v>11</v>
      </c>
      <c r="B2423" s="73">
        <v>1</v>
      </c>
      <c r="C2423" s="73"/>
      <c r="D2423" s="180" t="s">
        <v>600</v>
      </c>
      <c r="E2423" s="39">
        <v>43598</v>
      </c>
      <c r="F2423" s="179">
        <v>0.60416666666666663</v>
      </c>
      <c r="G2423" s="180">
        <v>6</v>
      </c>
      <c r="H2423" s="180" t="s">
        <v>617</v>
      </c>
      <c r="I2423" s="180"/>
    </row>
    <row r="2424" spans="1:9" x14ac:dyDescent="0.45">
      <c r="A2424" s="180" t="s">
        <v>11</v>
      </c>
      <c r="B2424" s="73">
        <v>50</v>
      </c>
      <c r="C2424" s="73">
        <v>50</v>
      </c>
      <c r="D2424" s="180" t="s">
        <v>600</v>
      </c>
      <c r="E2424" s="39">
        <v>43598</v>
      </c>
      <c r="F2424" s="179">
        <v>0.45555555555555555</v>
      </c>
      <c r="G2424" s="180">
        <v>3</v>
      </c>
      <c r="H2424" s="180" t="s">
        <v>627</v>
      </c>
      <c r="I2424" s="180" t="s">
        <v>377</v>
      </c>
    </row>
    <row r="2425" spans="1:9" x14ac:dyDescent="0.45">
      <c r="A2425" s="180" t="s">
        <v>11</v>
      </c>
      <c r="B2425" s="73">
        <v>50</v>
      </c>
      <c r="C2425" s="73"/>
      <c r="D2425" s="180" t="s">
        <v>600</v>
      </c>
      <c r="E2425" s="39">
        <v>43598</v>
      </c>
      <c r="F2425" s="179">
        <v>0.45555555555555555</v>
      </c>
      <c r="G2425" s="180">
        <v>3</v>
      </c>
      <c r="H2425" s="180" t="s">
        <v>627</v>
      </c>
      <c r="I2425" s="180" t="s">
        <v>377</v>
      </c>
    </row>
    <row r="2426" spans="1:9" x14ac:dyDescent="0.45">
      <c r="A2426" s="180" t="s">
        <v>11</v>
      </c>
      <c r="B2426" s="73">
        <v>5</v>
      </c>
      <c r="C2426" s="73"/>
      <c r="D2426" s="180" t="s">
        <v>600</v>
      </c>
      <c r="E2426" s="39">
        <v>43598</v>
      </c>
      <c r="F2426" s="179">
        <v>0.45347222222222222</v>
      </c>
      <c r="G2426" s="180">
        <v>2</v>
      </c>
      <c r="H2426" s="180"/>
      <c r="I2426" s="180"/>
    </row>
    <row r="2427" spans="1:9" x14ac:dyDescent="0.45">
      <c r="A2427" s="180" t="s">
        <v>11</v>
      </c>
      <c r="B2427" s="73">
        <v>40</v>
      </c>
      <c r="C2427" s="73">
        <v>40</v>
      </c>
      <c r="D2427" s="180" t="s">
        <v>618</v>
      </c>
      <c r="E2427" s="39">
        <v>43599</v>
      </c>
      <c r="F2427" s="179">
        <v>0.59375</v>
      </c>
      <c r="G2427" s="180">
        <v>2</v>
      </c>
      <c r="H2427" s="180"/>
      <c r="I2427" s="180"/>
    </row>
    <row r="2428" spans="1:9" x14ac:dyDescent="0.45">
      <c r="A2428" s="180" t="s">
        <v>11</v>
      </c>
      <c r="B2428" s="73">
        <v>40</v>
      </c>
      <c r="C2428" s="73"/>
      <c r="D2428" s="180" t="s">
        <v>618</v>
      </c>
      <c r="E2428" s="39">
        <v>43599</v>
      </c>
      <c r="F2428" s="179">
        <v>0.59375</v>
      </c>
      <c r="G2428" s="180">
        <v>2</v>
      </c>
      <c r="H2428" s="180"/>
      <c r="I2428" s="180"/>
    </row>
    <row r="2429" spans="1:9" x14ac:dyDescent="0.45">
      <c r="A2429" s="180" t="s">
        <v>11</v>
      </c>
      <c r="B2429" s="73">
        <v>18</v>
      </c>
      <c r="C2429" s="73"/>
      <c r="D2429" s="180" t="s">
        <v>600</v>
      </c>
      <c r="E2429" s="39">
        <v>43599</v>
      </c>
      <c r="F2429" s="179">
        <v>0.63194444444444442</v>
      </c>
      <c r="G2429" s="180">
        <v>2</v>
      </c>
      <c r="H2429" s="180"/>
      <c r="I2429" s="180"/>
    </row>
    <row r="2430" spans="1:9" x14ac:dyDescent="0.45">
      <c r="A2430" s="180" t="s">
        <v>11</v>
      </c>
      <c r="B2430" s="73">
        <v>2</v>
      </c>
      <c r="C2430" s="73"/>
      <c r="D2430" s="180" t="s">
        <v>600</v>
      </c>
      <c r="E2430" s="39">
        <v>43599</v>
      </c>
      <c r="F2430" s="179">
        <v>0.6166666666666667</v>
      </c>
      <c r="G2430" s="180">
        <v>2</v>
      </c>
      <c r="H2430" s="180"/>
      <c r="I2430" s="180"/>
    </row>
    <row r="2431" spans="1:9" x14ac:dyDescent="0.45">
      <c r="A2431" s="180" t="s">
        <v>11</v>
      </c>
      <c r="B2431" s="73">
        <v>40</v>
      </c>
      <c r="C2431" s="73"/>
      <c r="D2431" s="180" t="s">
        <v>600</v>
      </c>
      <c r="E2431" s="39">
        <v>43599</v>
      </c>
      <c r="F2431" s="179">
        <v>0.4201388888888889</v>
      </c>
      <c r="G2431" s="180">
        <v>1</v>
      </c>
      <c r="H2431" s="180"/>
      <c r="I2431" s="180"/>
    </row>
    <row r="2432" spans="1:9" x14ac:dyDescent="0.45">
      <c r="A2432" s="180" t="s">
        <v>11</v>
      </c>
      <c r="B2432" s="73">
        <v>1</v>
      </c>
      <c r="C2432" s="73">
        <v>1</v>
      </c>
      <c r="D2432" s="180" t="s">
        <v>600</v>
      </c>
      <c r="E2432" s="39">
        <v>43600</v>
      </c>
      <c r="F2432" s="179">
        <v>0.68055555555555547</v>
      </c>
      <c r="G2432" s="180">
        <v>2</v>
      </c>
      <c r="H2432" s="180" t="s">
        <v>405</v>
      </c>
      <c r="I2432" s="180"/>
    </row>
    <row r="2433" spans="1:9" x14ac:dyDescent="0.45">
      <c r="A2433" s="180" t="s">
        <v>11</v>
      </c>
      <c r="B2433" s="73">
        <v>2</v>
      </c>
      <c r="C2433" s="73"/>
      <c r="D2433" s="180" t="s">
        <v>618</v>
      </c>
      <c r="E2433" s="39">
        <v>43601</v>
      </c>
      <c r="F2433" s="179">
        <v>0.5756944444444444</v>
      </c>
      <c r="G2433" s="180">
        <v>1</v>
      </c>
      <c r="H2433" s="180"/>
      <c r="I2433" s="180"/>
    </row>
    <row r="2434" spans="1:9" x14ac:dyDescent="0.45">
      <c r="A2434" s="180" t="s">
        <v>11</v>
      </c>
      <c r="B2434" s="73">
        <v>7</v>
      </c>
      <c r="C2434" s="73">
        <v>7</v>
      </c>
      <c r="D2434" s="180" t="s">
        <v>618</v>
      </c>
      <c r="E2434" s="39">
        <v>43601</v>
      </c>
      <c r="F2434" s="179">
        <v>0.5131944444444444</v>
      </c>
      <c r="G2434" s="180">
        <v>1</v>
      </c>
      <c r="H2434" s="180"/>
      <c r="I2434" s="180"/>
    </row>
    <row r="2435" spans="1:9" x14ac:dyDescent="0.45">
      <c r="A2435" s="180" t="s">
        <v>11</v>
      </c>
      <c r="B2435" s="73">
        <v>12</v>
      </c>
      <c r="C2435" s="73">
        <v>12</v>
      </c>
      <c r="D2435" s="180" t="s">
        <v>600</v>
      </c>
      <c r="E2435" s="39">
        <v>43603</v>
      </c>
      <c r="F2435" s="179">
        <v>0.70277777777777783</v>
      </c>
      <c r="G2435" s="180">
        <v>5</v>
      </c>
      <c r="H2435" s="180" t="s">
        <v>628</v>
      </c>
      <c r="I2435" s="180"/>
    </row>
    <row r="2436" spans="1:9" x14ac:dyDescent="0.45">
      <c r="A2436" s="180" t="s">
        <v>11</v>
      </c>
      <c r="B2436" s="73">
        <v>12</v>
      </c>
      <c r="C2436" s="73"/>
      <c r="D2436" s="180" t="s">
        <v>600</v>
      </c>
      <c r="E2436" s="39">
        <v>43603</v>
      </c>
      <c r="F2436" s="179">
        <v>0.70277777777777783</v>
      </c>
      <c r="G2436" s="180">
        <v>5</v>
      </c>
      <c r="H2436" s="180" t="s">
        <v>628</v>
      </c>
      <c r="I2436" s="180"/>
    </row>
    <row r="2437" spans="1:9" x14ac:dyDescent="0.45">
      <c r="A2437" s="180" t="s">
        <v>11</v>
      </c>
      <c r="B2437" s="73">
        <v>4</v>
      </c>
      <c r="C2437" s="73"/>
      <c r="D2437" s="180" t="s">
        <v>600</v>
      </c>
      <c r="E2437" s="39">
        <v>43605</v>
      </c>
      <c r="F2437" s="179">
        <v>0.67708333333333337</v>
      </c>
      <c r="G2437" s="180">
        <v>1</v>
      </c>
      <c r="H2437" s="180"/>
      <c r="I2437" s="180"/>
    </row>
    <row r="2438" spans="1:9" x14ac:dyDescent="0.45">
      <c r="A2438" s="180" t="s">
        <v>11</v>
      </c>
      <c r="B2438" s="73">
        <v>6</v>
      </c>
      <c r="C2438" s="73">
        <v>6</v>
      </c>
      <c r="D2438" s="180" t="s">
        <v>600</v>
      </c>
      <c r="E2438" s="39">
        <v>43605</v>
      </c>
      <c r="F2438" s="179">
        <v>0.31180555555555556</v>
      </c>
      <c r="G2438" s="180">
        <v>1</v>
      </c>
      <c r="H2438" s="180"/>
      <c r="I2438" s="180"/>
    </row>
    <row r="2439" spans="1:9" x14ac:dyDescent="0.45">
      <c r="A2439" s="180" t="s">
        <v>11</v>
      </c>
      <c r="B2439" s="73">
        <v>2</v>
      </c>
      <c r="C2439" s="73">
        <v>2</v>
      </c>
      <c r="D2439" s="180" t="s">
        <v>635</v>
      </c>
      <c r="E2439" s="39">
        <v>43608</v>
      </c>
      <c r="F2439" s="179">
        <v>0.92222222222222217</v>
      </c>
      <c r="G2439" s="180">
        <v>3</v>
      </c>
      <c r="H2439" s="180" t="s">
        <v>636</v>
      </c>
      <c r="I2439" s="180"/>
    </row>
    <row r="2440" spans="1:9" x14ac:dyDescent="0.45">
      <c r="A2440" s="180" t="s">
        <v>11</v>
      </c>
      <c r="B2440" s="73">
        <v>2</v>
      </c>
      <c r="C2440" s="73"/>
      <c r="D2440" s="180" t="s">
        <v>635</v>
      </c>
      <c r="E2440" s="39">
        <v>43608</v>
      </c>
      <c r="F2440" s="179">
        <v>0.92222222222222217</v>
      </c>
      <c r="G2440" s="180">
        <v>3</v>
      </c>
      <c r="H2440" s="180" t="s">
        <v>636</v>
      </c>
      <c r="I2440" s="180"/>
    </row>
    <row r="2441" spans="1:9" x14ac:dyDescent="0.45">
      <c r="A2441" s="1" t="s">
        <v>273</v>
      </c>
      <c r="B2441" s="73"/>
      <c r="C2441" s="73">
        <f>SUM(C2368:C2440)</f>
        <v>649</v>
      </c>
      <c r="D2441" s="180"/>
      <c r="E2441" s="39"/>
      <c r="F2441" s="179"/>
      <c r="G2441" s="180"/>
      <c r="H2441" s="180"/>
      <c r="I2441" s="180"/>
    </row>
    <row r="2442" spans="1:9" x14ac:dyDescent="0.45">
      <c r="A2442" s="180"/>
      <c r="B2442" s="73"/>
      <c r="C2442" s="73"/>
      <c r="D2442" s="180"/>
      <c r="E2442" s="39"/>
      <c r="F2442" s="179"/>
      <c r="G2442" s="180"/>
      <c r="H2442" s="180"/>
      <c r="I2442" s="180"/>
    </row>
    <row r="2443" spans="1:9" x14ac:dyDescent="0.45">
      <c r="A2443" s="180" t="s">
        <v>7</v>
      </c>
      <c r="B2443" s="73">
        <v>7</v>
      </c>
      <c r="C2443" s="73">
        <v>7</v>
      </c>
      <c r="D2443" s="180" t="s">
        <v>600</v>
      </c>
      <c r="E2443" s="39">
        <v>43588</v>
      </c>
      <c r="F2443" s="179">
        <v>0.67013888888888884</v>
      </c>
      <c r="G2443" s="180">
        <v>2</v>
      </c>
      <c r="H2443" s="180"/>
      <c r="I2443" s="180"/>
    </row>
    <row r="2444" spans="1:9" x14ac:dyDescent="0.45">
      <c r="A2444" s="180" t="s">
        <v>7</v>
      </c>
      <c r="B2444" s="73">
        <v>7</v>
      </c>
      <c r="C2444" s="73"/>
      <c r="D2444" s="180" t="s">
        <v>602</v>
      </c>
      <c r="E2444" s="39">
        <v>43588</v>
      </c>
      <c r="F2444" s="179">
        <v>0.67708333333333337</v>
      </c>
      <c r="G2444" s="180">
        <v>2</v>
      </c>
      <c r="H2444" s="180" t="s">
        <v>620</v>
      </c>
      <c r="I2444" s="180"/>
    </row>
    <row r="2445" spans="1:9" x14ac:dyDescent="0.45">
      <c r="A2445" s="180" t="s">
        <v>7</v>
      </c>
      <c r="B2445" s="73">
        <v>1</v>
      </c>
      <c r="C2445" s="73">
        <v>1</v>
      </c>
      <c r="D2445" s="180" t="s">
        <v>600</v>
      </c>
      <c r="E2445" s="39">
        <v>43594</v>
      </c>
      <c r="F2445" s="179">
        <v>0.37222222222222223</v>
      </c>
      <c r="G2445" s="180">
        <v>24</v>
      </c>
      <c r="H2445" s="180"/>
      <c r="I2445" s="180"/>
    </row>
    <row r="2446" spans="1:9" x14ac:dyDescent="0.45">
      <c r="A2446" s="180" t="s">
        <v>7</v>
      </c>
      <c r="B2446" s="73">
        <v>1</v>
      </c>
      <c r="C2446" s="73"/>
      <c r="D2446" s="180" t="s">
        <v>600</v>
      </c>
      <c r="E2446" s="39">
        <v>43594</v>
      </c>
      <c r="F2446" s="179">
        <v>0.37222222222222223</v>
      </c>
      <c r="G2446" s="180">
        <v>24</v>
      </c>
      <c r="H2446" s="180"/>
      <c r="I2446" s="180"/>
    </row>
    <row r="2447" spans="1:9" x14ac:dyDescent="0.45">
      <c r="A2447" s="180" t="s">
        <v>7</v>
      </c>
      <c r="B2447" s="73">
        <v>1</v>
      </c>
      <c r="C2447" s="73"/>
      <c r="D2447" s="180" t="s">
        <v>600</v>
      </c>
      <c r="E2447" s="39">
        <v>43594</v>
      </c>
      <c r="F2447" s="179">
        <v>0.37222222222222223</v>
      </c>
      <c r="G2447" s="180">
        <v>24</v>
      </c>
      <c r="H2447" s="180"/>
      <c r="I2447" s="180"/>
    </row>
    <row r="2448" spans="1:9" x14ac:dyDescent="0.45">
      <c r="A2448" s="180" t="s">
        <v>7</v>
      </c>
      <c r="B2448" s="73">
        <v>1</v>
      </c>
      <c r="C2448" s="73"/>
      <c r="D2448" s="180" t="s">
        <v>600</v>
      </c>
      <c r="E2448" s="39">
        <v>43594</v>
      </c>
      <c r="F2448" s="179">
        <v>0.37222222222222223</v>
      </c>
      <c r="G2448" s="180">
        <v>24</v>
      </c>
      <c r="H2448" s="180"/>
      <c r="I2448" s="180"/>
    </row>
    <row r="2449" spans="1:9" x14ac:dyDescent="0.45">
      <c r="A2449" s="180" t="s">
        <v>7</v>
      </c>
      <c r="B2449" s="73">
        <v>1</v>
      </c>
      <c r="C2449" s="73"/>
      <c r="D2449" s="180" t="s">
        <v>600</v>
      </c>
      <c r="E2449" s="39">
        <v>43594</v>
      </c>
      <c r="F2449" s="179">
        <v>0.60625000000000007</v>
      </c>
      <c r="G2449" s="180">
        <v>1</v>
      </c>
      <c r="H2449" s="180" t="s">
        <v>645</v>
      </c>
      <c r="I2449" s="180"/>
    </row>
    <row r="2450" spans="1:9" x14ac:dyDescent="0.45">
      <c r="A2450" s="180" t="s">
        <v>7</v>
      </c>
      <c r="B2450" s="73">
        <v>1</v>
      </c>
      <c r="C2450" s="73"/>
      <c r="D2450" s="180" t="s">
        <v>600</v>
      </c>
      <c r="E2450" s="39">
        <v>43594</v>
      </c>
      <c r="F2450" s="179">
        <v>0.37222222222222223</v>
      </c>
      <c r="G2450" s="180">
        <v>24</v>
      </c>
      <c r="H2450" s="180"/>
      <c r="I2450" s="180"/>
    </row>
    <row r="2451" spans="1:9" x14ac:dyDescent="0.45">
      <c r="A2451" s="180" t="s">
        <v>7</v>
      </c>
      <c r="B2451" s="73">
        <v>1</v>
      </c>
      <c r="C2451" s="73"/>
      <c r="D2451" s="180" t="s">
        <v>600</v>
      </c>
      <c r="E2451" s="39">
        <v>43594</v>
      </c>
      <c r="F2451" s="179">
        <v>0.37222222222222223</v>
      </c>
      <c r="G2451" s="180">
        <v>24</v>
      </c>
      <c r="H2451" s="180"/>
      <c r="I2451" s="180"/>
    </row>
    <row r="2452" spans="1:9" x14ac:dyDescent="0.45">
      <c r="A2452" s="180" t="s">
        <v>7</v>
      </c>
      <c r="B2452" s="73">
        <v>2</v>
      </c>
      <c r="C2452" s="73"/>
      <c r="D2452" s="180" t="s">
        <v>602</v>
      </c>
      <c r="E2452" s="39">
        <v>43594</v>
      </c>
      <c r="F2452" s="179">
        <v>0.5</v>
      </c>
      <c r="G2452" s="180">
        <v>1</v>
      </c>
      <c r="H2452" s="180"/>
      <c r="I2452" s="180"/>
    </row>
    <row r="2453" spans="1:9" x14ac:dyDescent="0.45">
      <c r="A2453" s="180" t="s">
        <v>7</v>
      </c>
      <c r="B2453" s="73">
        <v>15</v>
      </c>
      <c r="C2453" s="73"/>
      <c r="D2453" s="180" t="s">
        <v>600</v>
      </c>
      <c r="E2453" s="39">
        <v>43595</v>
      </c>
      <c r="F2453" s="179">
        <v>0.37361111111111112</v>
      </c>
      <c r="G2453" s="180">
        <v>24</v>
      </c>
      <c r="H2453" s="180"/>
      <c r="I2453" s="180"/>
    </row>
    <row r="2454" spans="1:9" x14ac:dyDescent="0.45">
      <c r="A2454" s="180" t="s">
        <v>7</v>
      </c>
      <c r="B2454" s="73">
        <v>21</v>
      </c>
      <c r="C2454" s="73"/>
      <c r="D2454" s="180" t="s">
        <v>600</v>
      </c>
      <c r="E2454" s="39">
        <v>43595</v>
      </c>
      <c r="F2454" s="179">
        <v>0.61249999999999993</v>
      </c>
      <c r="G2454" s="180">
        <v>2</v>
      </c>
      <c r="H2454" s="180" t="s">
        <v>612</v>
      </c>
      <c r="I2454" s="180"/>
    </row>
    <row r="2455" spans="1:9" x14ac:dyDescent="0.45">
      <c r="A2455" s="180" t="s">
        <v>7</v>
      </c>
      <c r="B2455" s="73">
        <v>21</v>
      </c>
      <c r="C2455" s="73"/>
      <c r="D2455" s="180" t="s">
        <v>600</v>
      </c>
      <c r="E2455" s="39">
        <v>43595</v>
      </c>
      <c r="F2455" s="179">
        <v>0.61249999999999993</v>
      </c>
      <c r="G2455" s="180">
        <v>2</v>
      </c>
      <c r="H2455" s="180" t="s">
        <v>612</v>
      </c>
      <c r="I2455" s="180"/>
    </row>
    <row r="2456" spans="1:9" x14ac:dyDescent="0.45">
      <c r="A2456" s="180" t="s">
        <v>7</v>
      </c>
      <c r="B2456" s="73">
        <v>15</v>
      </c>
      <c r="C2456" s="73"/>
      <c r="D2456" s="180" t="s">
        <v>600</v>
      </c>
      <c r="E2456" s="39">
        <v>43595</v>
      </c>
      <c r="F2456" s="179">
        <v>0.37361111111111112</v>
      </c>
      <c r="G2456" s="180">
        <v>24</v>
      </c>
      <c r="H2456" s="180"/>
      <c r="I2456" s="180"/>
    </row>
    <row r="2457" spans="1:9" x14ac:dyDescent="0.45">
      <c r="A2457" s="180" t="s">
        <v>7</v>
      </c>
      <c r="B2457" s="73">
        <v>15</v>
      </c>
      <c r="C2457" s="73"/>
      <c r="D2457" s="180" t="s">
        <v>600</v>
      </c>
      <c r="E2457" s="39">
        <v>43595</v>
      </c>
      <c r="F2457" s="179">
        <v>0.37361111111111112</v>
      </c>
      <c r="G2457" s="180">
        <v>24</v>
      </c>
      <c r="H2457" s="180"/>
      <c r="I2457" s="180"/>
    </row>
    <row r="2458" spans="1:9" x14ac:dyDescent="0.45">
      <c r="A2458" s="180" t="s">
        <v>7</v>
      </c>
      <c r="B2458" s="73">
        <v>13</v>
      </c>
      <c r="C2458" s="73"/>
      <c r="D2458" s="180" t="s">
        <v>600</v>
      </c>
      <c r="E2458" s="39">
        <v>43595</v>
      </c>
      <c r="F2458" s="179">
        <v>0.60416666666666663</v>
      </c>
      <c r="G2458" s="180">
        <v>2</v>
      </c>
      <c r="H2458" s="180"/>
      <c r="I2458" s="180"/>
    </row>
    <row r="2459" spans="1:9" x14ac:dyDescent="0.45">
      <c r="A2459" s="180" t="s">
        <v>7</v>
      </c>
      <c r="B2459" s="73">
        <v>23</v>
      </c>
      <c r="C2459" s="73">
        <v>23</v>
      </c>
      <c r="D2459" s="180" t="s">
        <v>600</v>
      </c>
      <c r="E2459" s="39">
        <v>43595</v>
      </c>
      <c r="F2459" s="179">
        <v>0.56666666666666665</v>
      </c>
      <c r="G2459" s="180">
        <v>3</v>
      </c>
      <c r="H2459" s="180"/>
      <c r="I2459" s="180"/>
    </row>
    <row r="2460" spans="1:9" x14ac:dyDescent="0.45">
      <c r="A2460" s="180" t="s">
        <v>7</v>
      </c>
      <c r="B2460" s="73">
        <v>15</v>
      </c>
      <c r="C2460" s="73"/>
      <c r="D2460" s="180" t="s">
        <v>600</v>
      </c>
      <c r="E2460" s="39">
        <v>43595</v>
      </c>
      <c r="F2460" s="179">
        <v>0.37361111111111112</v>
      </c>
      <c r="G2460" s="180">
        <v>24</v>
      </c>
      <c r="H2460" s="180"/>
      <c r="I2460" s="180"/>
    </row>
    <row r="2461" spans="1:9" x14ac:dyDescent="0.45">
      <c r="A2461" s="180" t="s">
        <v>7</v>
      </c>
      <c r="B2461" s="73">
        <v>23</v>
      </c>
      <c r="C2461" s="73"/>
      <c r="D2461" s="180" t="s">
        <v>600</v>
      </c>
      <c r="E2461" s="39">
        <v>43595</v>
      </c>
      <c r="F2461" s="179">
        <v>0.56666666666666665</v>
      </c>
      <c r="G2461" s="180">
        <v>3</v>
      </c>
      <c r="H2461" s="180"/>
      <c r="I2461" s="180"/>
    </row>
    <row r="2462" spans="1:9" x14ac:dyDescent="0.45">
      <c r="A2462" s="180" t="s">
        <v>7</v>
      </c>
      <c r="B2462" s="73">
        <v>15</v>
      </c>
      <c r="C2462" s="73"/>
      <c r="D2462" s="180" t="s">
        <v>600</v>
      </c>
      <c r="E2462" s="39">
        <v>43595</v>
      </c>
      <c r="F2462" s="179">
        <v>0.37361111111111112</v>
      </c>
      <c r="G2462" s="180">
        <v>24</v>
      </c>
      <c r="H2462" s="180"/>
      <c r="I2462" s="180"/>
    </row>
    <row r="2463" spans="1:9" x14ac:dyDescent="0.45">
      <c r="A2463" s="180" t="s">
        <v>7</v>
      </c>
      <c r="B2463" s="73">
        <v>23</v>
      </c>
      <c r="C2463" s="73"/>
      <c r="D2463" s="180" t="s">
        <v>600</v>
      </c>
      <c r="E2463" s="39">
        <v>43595</v>
      </c>
      <c r="F2463" s="179">
        <v>0.56666666666666665</v>
      </c>
      <c r="G2463" s="180">
        <v>3</v>
      </c>
      <c r="H2463" s="180"/>
      <c r="I2463" s="180"/>
    </row>
    <row r="2464" spans="1:9" x14ac:dyDescent="0.45">
      <c r="A2464" s="180" t="s">
        <v>7</v>
      </c>
      <c r="B2464" s="73">
        <v>2</v>
      </c>
      <c r="C2464" s="73"/>
      <c r="D2464" s="180" t="s">
        <v>600</v>
      </c>
      <c r="E2464" s="39">
        <v>43595</v>
      </c>
      <c r="F2464" s="179">
        <v>0.64583333333333337</v>
      </c>
      <c r="G2464" s="180">
        <v>4</v>
      </c>
      <c r="H2464" s="180" t="s">
        <v>623</v>
      </c>
      <c r="I2464" s="180"/>
    </row>
    <row r="2465" spans="1:9" x14ac:dyDescent="0.45">
      <c r="A2465" s="180" t="s">
        <v>7</v>
      </c>
      <c r="B2465" s="73">
        <v>1</v>
      </c>
      <c r="C2465" s="73"/>
      <c r="D2465" s="180" t="s">
        <v>600</v>
      </c>
      <c r="E2465" s="39">
        <v>43595</v>
      </c>
      <c r="F2465" s="179">
        <v>0.51111111111111118</v>
      </c>
      <c r="G2465" s="180">
        <v>1</v>
      </c>
      <c r="H2465" s="180"/>
      <c r="I2465" s="180"/>
    </row>
    <row r="2466" spans="1:9" x14ac:dyDescent="0.45">
      <c r="A2466" s="180" t="s">
        <v>7</v>
      </c>
      <c r="B2466" s="73">
        <v>15</v>
      </c>
      <c r="C2466" s="73"/>
      <c r="D2466" s="180" t="s">
        <v>600</v>
      </c>
      <c r="E2466" s="39">
        <v>43595</v>
      </c>
      <c r="F2466" s="179">
        <v>0.37361111111111112</v>
      </c>
      <c r="G2466" s="180">
        <v>24</v>
      </c>
      <c r="H2466" s="180"/>
      <c r="I2466" s="180"/>
    </row>
    <row r="2467" spans="1:9" x14ac:dyDescent="0.45">
      <c r="A2467" s="180" t="s">
        <v>7</v>
      </c>
      <c r="B2467" s="73">
        <v>11</v>
      </c>
      <c r="C2467" s="73"/>
      <c r="D2467" s="180" t="s">
        <v>602</v>
      </c>
      <c r="E2467" s="39">
        <v>43595</v>
      </c>
      <c r="F2467" s="179">
        <v>0.43472222222222223</v>
      </c>
      <c r="G2467" s="180">
        <v>1</v>
      </c>
      <c r="H2467" s="180"/>
      <c r="I2467" s="180"/>
    </row>
    <row r="2468" spans="1:9" x14ac:dyDescent="0.45">
      <c r="A2468" s="180" t="s">
        <v>7</v>
      </c>
      <c r="B2468" s="73">
        <v>3</v>
      </c>
      <c r="C2468" s="73"/>
      <c r="D2468" s="180" t="s">
        <v>624</v>
      </c>
      <c r="E2468" s="39">
        <v>43596</v>
      </c>
      <c r="F2468" s="179">
        <v>0.50486111111111109</v>
      </c>
      <c r="G2468" s="180">
        <v>1</v>
      </c>
      <c r="H2468" s="180"/>
      <c r="I2468" s="180"/>
    </row>
    <row r="2469" spans="1:9" x14ac:dyDescent="0.45">
      <c r="A2469" s="180" t="s">
        <v>7</v>
      </c>
      <c r="B2469" s="73">
        <v>9</v>
      </c>
      <c r="C2469" s="73">
        <v>9</v>
      </c>
      <c r="D2469" s="180" t="s">
        <v>600</v>
      </c>
      <c r="E2469" s="39">
        <v>43596</v>
      </c>
      <c r="F2469" s="179">
        <v>0.28125</v>
      </c>
      <c r="G2469" s="180">
        <v>2</v>
      </c>
      <c r="H2469" s="180" t="s">
        <v>613</v>
      </c>
      <c r="I2469" s="180"/>
    </row>
    <row r="2470" spans="1:9" x14ac:dyDescent="0.45">
      <c r="A2470" s="180" t="s">
        <v>7</v>
      </c>
      <c r="B2470" s="73">
        <v>7</v>
      </c>
      <c r="C2470" s="73"/>
      <c r="D2470" s="180" t="s">
        <v>602</v>
      </c>
      <c r="E2470" s="39">
        <v>43596</v>
      </c>
      <c r="F2470" s="179">
        <v>0.33749999999999997</v>
      </c>
      <c r="G2470" s="180">
        <v>1</v>
      </c>
      <c r="H2470" s="180"/>
      <c r="I2470" s="180"/>
    </row>
    <row r="2471" spans="1:9" x14ac:dyDescent="0.45">
      <c r="A2471" s="180" t="s">
        <v>7</v>
      </c>
      <c r="B2471" s="73">
        <v>3</v>
      </c>
      <c r="C2471" s="73"/>
      <c r="D2471" s="180" t="s">
        <v>602</v>
      </c>
      <c r="E2471" s="39">
        <v>43596</v>
      </c>
      <c r="F2471" s="179">
        <v>0.33333333333333331</v>
      </c>
      <c r="G2471" s="180">
        <v>2</v>
      </c>
      <c r="H2471" s="180"/>
      <c r="I2471" s="180"/>
    </row>
    <row r="2472" spans="1:9" x14ac:dyDescent="0.45">
      <c r="A2472" s="180" t="s">
        <v>7</v>
      </c>
      <c r="B2472" s="73">
        <v>7</v>
      </c>
      <c r="C2472" s="73"/>
      <c r="D2472" s="180" t="s">
        <v>602</v>
      </c>
      <c r="E2472" s="39">
        <v>43596</v>
      </c>
      <c r="F2472" s="179">
        <v>0.33749999999999997</v>
      </c>
      <c r="G2472" s="180">
        <v>1</v>
      </c>
      <c r="H2472" s="180"/>
      <c r="I2472" s="180"/>
    </row>
    <row r="2473" spans="1:9" x14ac:dyDescent="0.45">
      <c r="A2473" s="180" t="s">
        <v>7</v>
      </c>
      <c r="B2473" s="73">
        <v>1</v>
      </c>
      <c r="C2473" s="73"/>
      <c r="D2473" s="180" t="s">
        <v>644</v>
      </c>
      <c r="E2473" s="39">
        <v>43596</v>
      </c>
      <c r="F2473" s="179">
        <v>0.5444444444444444</v>
      </c>
      <c r="G2473" s="180">
        <v>1</v>
      </c>
      <c r="H2473" s="180"/>
      <c r="I2473" s="180"/>
    </row>
    <row r="2474" spans="1:9" x14ac:dyDescent="0.45">
      <c r="A2474" s="180" t="s">
        <v>7</v>
      </c>
      <c r="B2474" s="73">
        <v>6</v>
      </c>
      <c r="C2474" s="73"/>
      <c r="D2474" s="180" t="s">
        <v>625</v>
      </c>
      <c r="E2474" s="39">
        <v>43597</v>
      </c>
      <c r="F2474" s="179">
        <v>0.43958333333333338</v>
      </c>
      <c r="G2474" s="180">
        <v>2</v>
      </c>
      <c r="H2474" s="180"/>
      <c r="I2474" s="180"/>
    </row>
    <row r="2475" spans="1:9" x14ac:dyDescent="0.45">
      <c r="A2475" s="180" t="s">
        <v>7</v>
      </c>
      <c r="B2475" s="73">
        <v>7</v>
      </c>
      <c r="C2475" s="73"/>
      <c r="D2475" s="180" t="s">
        <v>600</v>
      </c>
      <c r="E2475" s="39">
        <v>43597</v>
      </c>
      <c r="F2475" s="179">
        <v>0.46527777777777773</v>
      </c>
      <c r="G2475" s="180">
        <v>1</v>
      </c>
      <c r="H2475" s="180" t="s">
        <v>610</v>
      </c>
      <c r="I2475" s="180"/>
    </row>
    <row r="2476" spans="1:9" x14ac:dyDescent="0.45">
      <c r="A2476" s="180" t="s">
        <v>7</v>
      </c>
      <c r="B2476" s="73">
        <v>7</v>
      </c>
      <c r="C2476" s="73"/>
      <c r="D2476" s="180" t="s">
        <v>600</v>
      </c>
      <c r="E2476" s="39">
        <v>43597</v>
      </c>
      <c r="F2476" s="179">
        <v>0.4826388888888889</v>
      </c>
      <c r="G2476" s="180">
        <v>10</v>
      </c>
      <c r="H2476" s="180" t="s">
        <v>614</v>
      </c>
      <c r="I2476" s="180"/>
    </row>
    <row r="2477" spans="1:9" x14ac:dyDescent="0.45">
      <c r="A2477" s="180" t="s">
        <v>7</v>
      </c>
      <c r="B2477" s="73">
        <v>11</v>
      </c>
      <c r="C2477" s="73"/>
      <c r="D2477" s="180" t="s">
        <v>600</v>
      </c>
      <c r="E2477" s="39">
        <v>43597</v>
      </c>
      <c r="F2477" s="179">
        <v>0.4375</v>
      </c>
      <c r="G2477" s="180">
        <v>4</v>
      </c>
      <c r="H2477" s="180" t="s">
        <v>633</v>
      </c>
      <c r="I2477" s="180"/>
    </row>
    <row r="2478" spans="1:9" x14ac:dyDescent="0.45">
      <c r="A2478" s="180" t="s">
        <v>7</v>
      </c>
      <c r="B2478" s="73">
        <v>6</v>
      </c>
      <c r="C2478" s="73"/>
      <c r="D2478" s="180" t="s">
        <v>600</v>
      </c>
      <c r="E2478" s="39">
        <v>43597</v>
      </c>
      <c r="F2478" s="179">
        <v>0.4375</v>
      </c>
      <c r="G2478" s="180">
        <v>12</v>
      </c>
      <c r="H2478" s="180" t="s">
        <v>615</v>
      </c>
      <c r="I2478" s="180"/>
    </row>
    <row r="2479" spans="1:9" x14ac:dyDescent="0.45">
      <c r="A2479" s="180" t="s">
        <v>7</v>
      </c>
      <c r="B2479" s="73">
        <v>7</v>
      </c>
      <c r="C2479" s="73"/>
      <c r="D2479" s="180" t="s">
        <v>600</v>
      </c>
      <c r="E2479" s="39">
        <v>43597</v>
      </c>
      <c r="F2479" s="179">
        <v>0.44444444444444442</v>
      </c>
      <c r="G2479" s="180">
        <v>3</v>
      </c>
      <c r="H2479" s="180"/>
      <c r="I2479" s="180"/>
    </row>
    <row r="2480" spans="1:9" x14ac:dyDescent="0.45">
      <c r="A2480" s="180" t="s">
        <v>7</v>
      </c>
      <c r="B2480" s="73">
        <v>6</v>
      </c>
      <c r="C2480" s="73"/>
      <c r="D2480" s="180" t="s">
        <v>600</v>
      </c>
      <c r="E2480" s="39">
        <v>43597</v>
      </c>
      <c r="F2480" s="179">
        <v>0.45833333333333331</v>
      </c>
      <c r="G2480" s="180">
        <v>3</v>
      </c>
      <c r="H2480" s="180"/>
      <c r="I2480" s="180"/>
    </row>
    <row r="2481" spans="1:9" x14ac:dyDescent="0.45">
      <c r="A2481" s="180" t="s">
        <v>7</v>
      </c>
      <c r="B2481" s="73">
        <v>20</v>
      </c>
      <c r="C2481" s="73">
        <v>20</v>
      </c>
      <c r="D2481" s="180" t="s">
        <v>600</v>
      </c>
      <c r="E2481" s="39">
        <v>43597</v>
      </c>
      <c r="F2481" s="179">
        <v>0.28819444444444448</v>
      </c>
      <c r="G2481" s="180">
        <v>6</v>
      </c>
      <c r="H2481" s="180" t="s">
        <v>609</v>
      </c>
      <c r="I2481" s="180"/>
    </row>
    <row r="2482" spans="1:9" x14ac:dyDescent="0.45">
      <c r="A2482" s="180" t="s">
        <v>7</v>
      </c>
      <c r="B2482" s="73">
        <v>6</v>
      </c>
      <c r="C2482" s="73"/>
      <c r="D2482" s="180" t="s">
        <v>600</v>
      </c>
      <c r="E2482" s="39">
        <v>43597</v>
      </c>
      <c r="F2482" s="179">
        <v>0.45763888888888887</v>
      </c>
      <c r="G2482" s="180">
        <v>3</v>
      </c>
      <c r="H2482" s="180"/>
      <c r="I2482" s="180"/>
    </row>
    <row r="2483" spans="1:9" x14ac:dyDescent="0.45">
      <c r="A2483" s="180" t="s">
        <v>7</v>
      </c>
      <c r="B2483" s="73">
        <v>4</v>
      </c>
      <c r="C2483" s="73"/>
      <c r="D2483" s="180" t="s">
        <v>600</v>
      </c>
      <c r="E2483" s="39">
        <v>43597</v>
      </c>
      <c r="F2483" s="179">
        <v>0.45555555555555555</v>
      </c>
      <c r="G2483" s="180">
        <v>4</v>
      </c>
      <c r="H2483" s="180"/>
      <c r="I2483" s="180"/>
    </row>
    <row r="2484" spans="1:9" x14ac:dyDescent="0.45">
      <c r="A2484" s="180" t="s">
        <v>7</v>
      </c>
      <c r="B2484" s="73">
        <v>6</v>
      </c>
      <c r="C2484" s="73"/>
      <c r="D2484" s="180" t="s">
        <v>626</v>
      </c>
      <c r="E2484" s="39">
        <v>43597</v>
      </c>
      <c r="F2484" s="179">
        <v>0.4548611111111111</v>
      </c>
      <c r="G2484" s="180">
        <v>2</v>
      </c>
      <c r="H2484" s="180"/>
      <c r="I2484" s="180"/>
    </row>
    <row r="2485" spans="1:9" x14ac:dyDescent="0.45">
      <c r="A2485" s="180" t="s">
        <v>7</v>
      </c>
      <c r="B2485" s="73">
        <v>7</v>
      </c>
      <c r="C2485" s="73"/>
      <c r="D2485" s="180" t="s">
        <v>602</v>
      </c>
      <c r="E2485" s="39">
        <v>43597</v>
      </c>
      <c r="F2485" s="179">
        <v>0.49027777777777781</v>
      </c>
      <c r="G2485" s="180">
        <v>9</v>
      </c>
      <c r="H2485" s="180" t="s">
        <v>616</v>
      </c>
      <c r="I2485" s="180"/>
    </row>
    <row r="2486" spans="1:9" x14ac:dyDescent="0.45">
      <c r="A2486" s="180" t="s">
        <v>7</v>
      </c>
      <c r="B2486" s="73">
        <v>2</v>
      </c>
      <c r="C2486" s="73"/>
      <c r="D2486" s="180" t="s">
        <v>639</v>
      </c>
      <c r="E2486" s="39">
        <v>43597</v>
      </c>
      <c r="F2486" s="179">
        <v>0.34027777777777773</v>
      </c>
      <c r="G2486" s="180">
        <v>2</v>
      </c>
      <c r="H2486" s="180"/>
      <c r="I2486" s="180"/>
    </row>
    <row r="2487" spans="1:9" x14ac:dyDescent="0.45">
      <c r="A2487" s="180" t="s">
        <v>7</v>
      </c>
      <c r="B2487" s="73">
        <v>7</v>
      </c>
      <c r="C2487" s="73"/>
      <c r="D2487" s="180" t="s">
        <v>600</v>
      </c>
      <c r="E2487" s="39">
        <v>43598</v>
      </c>
      <c r="F2487" s="179">
        <v>0.45555555555555555</v>
      </c>
      <c r="G2487" s="180">
        <v>3</v>
      </c>
      <c r="H2487" s="180" t="s">
        <v>627</v>
      </c>
      <c r="I2487" s="180"/>
    </row>
    <row r="2488" spans="1:9" x14ac:dyDescent="0.45">
      <c r="A2488" s="180" t="s">
        <v>7</v>
      </c>
      <c r="B2488" s="73">
        <v>8</v>
      </c>
      <c r="C2488" s="73"/>
      <c r="D2488" s="180" t="s">
        <v>600</v>
      </c>
      <c r="E2488" s="39">
        <v>43598</v>
      </c>
      <c r="F2488" s="179">
        <v>0.45347222222222222</v>
      </c>
      <c r="G2488" s="180">
        <v>2</v>
      </c>
      <c r="H2488" s="180"/>
      <c r="I2488" s="180"/>
    </row>
    <row r="2489" spans="1:9" x14ac:dyDescent="0.45">
      <c r="A2489" s="180" t="s">
        <v>7</v>
      </c>
      <c r="B2489" s="73">
        <v>7</v>
      </c>
      <c r="C2489" s="73"/>
      <c r="D2489" s="180" t="s">
        <v>600</v>
      </c>
      <c r="E2489" s="39">
        <v>43598</v>
      </c>
      <c r="F2489" s="179">
        <v>0.45555555555555555</v>
      </c>
      <c r="G2489" s="180">
        <v>3</v>
      </c>
      <c r="H2489" s="180" t="s">
        <v>627</v>
      </c>
      <c r="I2489" s="180"/>
    </row>
    <row r="2490" spans="1:9" x14ac:dyDescent="0.45">
      <c r="A2490" s="180" t="s">
        <v>7</v>
      </c>
      <c r="B2490" s="73">
        <v>9</v>
      </c>
      <c r="C2490" s="73">
        <v>9</v>
      </c>
      <c r="D2490" s="180" t="s">
        <v>600</v>
      </c>
      <c r="E2490" s="39">
        <v>43598</v>
      </c>
      <c r="F2490" s="179">
        <v>0.60416666666666663</v>
      </c>
      <c r="G2490" s="180">
        <v>6</v>
      </c>
      <c r="H2490" s="180" t="s">
        <v>617</v>
      </c>
      <c r="I2490" s="180"/>
    </row>
    <row r="2491" spans="1:9" x14ac:dyDescent="0.45">
      <c r="A2491" s="180" t="s">
        <v>7</v>
      </c>
      <c r="B2491" s="73">
        <v>5</v>
      </c>
      <c r="C2491" s="73"/>
      <c r="D2491" s="180" t="s">
        <v>602</v>
      </c>
      <c r="E2491" s="39">
        <v>43598</v>
      </c>
      <c r="F2491" s="179">
        <v>0.60486111111111118</v>
      </c>
      <c r="G2491" s="180">
        <v>2</v>
      </c>
      <c r="H2491" s="180"/>
      <c r="I2491" s="180"/>
    </row>
    <row r="2492" spans="1:9" x14ac:dyDescent="0.45">
      <c r="A2492" s="180" t="s">
        <v>7</v>
      </c>
      <c r="B2492" s="73">
        <v>20</v>
      </c>
      <c r="C2492" s="73">
        <v>20</v>
      </c>
      <c r="D2492" s="180" t="s">
        <v>618</v>
      </c>
      <c r="E2492" s="39">
        <v>43599</v>
      </c>
      <c r="F2492" s="179">
        <v>0.59375</v>
      </c>
      <c r="G2492" s="180">
        <v>2</v>
      </c>
      <c r="H2492" s="180"/>
      <c r="I2492" s="180"/>
    </row>
    <row r="2493" spans="1:9" x14ac:dyDescent="0.45">
      <c r="A2493" s="180" t="s">
        <v>7</v>
      </c>
      <c r="B2493" s="73">
        <v>20</v>
      </c>
      <c r="C2493" s="73"/>
      <c r="D2493" s="180" t="s">
        <v>618</v>
      </c>
      <c r="E2493" s="39">
        <v>43599</v>
      </c>
      <c r="F2493" s="179">
        <v>0.59375</v>
      </c>
      <c r="G2493" s="180">
        <v>2</v>
      </c>
      <c r="H2493" s="180"/>
      <c r="I2493" s="180"/>
    </row>
    <row r="2494" spans="1:9" x14ac:dyDescent="0.45">
      <c r="A2494" s="180" t="s">
        <v>7</v>
      </c>
      <c r="B2494" s="73">
        <v>5</v>
      </c>
      <c r="C2494" s="73"/>
      <c r="D2494" s="180" t="s">
        <v>600</v>
      </c>
      <c r="E2494" s="39">
        <v>43599</v>
      </c>
      <c r="F2494" s="179">
        <v>0.6166666666666667</v>
      </c>
      <c r="G2494" s="180">
        <v>2</v>
      </c>
      <c r="H2494" s="180"/>
      <c r="I2494" s="180"/>
    </row>
    <row r="2495" spans="1:9" x14ac:dyDescent="0.45">
      <c r="A2495" s="180" t="s">
        <v>7</v>
      </c>
      <c r="B2495" s="73">
        <v>4</v>
      </c>
      <c r="C2495" s="73"/>
      <c r="D2495" s="180" t="s">
        <v>600</v>
      </c>
      <c r="E2495" s="39">
        <v>43599</v>
      </c>
      <c r="F2495" s="179">
        <v>0.63194444444444442</v>
      </c>
      <c r="G2495" s="180">
        <v>2</v>
      </c>
      <c r="H2495" s="180"/>
      <c r="I2495" s="180"/>
    </row>
    <row r="2496" spans="1:9" x14ac:dyDescent="0.45">
      <c r="A2496" s="180" t="s">
        <v>7</v>
      </c>
      <c r="B2496" s="73">
        <v>17</v>
      </c>
      <c r="C2496" s="73"/>
      <c r="D2496" s="180" t="s">
        <v>600</v>
      </c>
      <c r="E2496" s="39">
        <v>43599</v>
      </c>
      <c r="F2496" s="179">
        <v>0.4201388888888889</v>
      </c>
      <c r="G2496" s="180">
        <v>1</v>
      </c>
      <c r="H2496" s="180"/>
      <c r="I2496" s="180"/>
    </row>
    <row r="2497" spans="1:9" x14ac:dyDescent="0.45">
      <c r="A2497" s="180" t="s">
        <v>7</v>
      </c>
      <c r="B2497" s="73">
        <v>12</v>
      </c>
      <c r="C2497" s="73">
        <v>12</v>
      </c>
      <c r="D2497" s="180" t="s">
        <v>600</v>
      </c>
      <c r="E2497" s="39">
        <v>43600</v>
      </c>
      <c r="F2497" s="179">
        <v>0.68055555555555547</v>
      </c>
      <c r="G2497" s="180">
        <v>2</v>
      </c>
      <c r="H2497" s="180" t="s">
        <v>405</v>
      </c>
      <c r="I2497" s="180"/>
    </row>
    <row r="2498" spans="1:9" x14ac:dyDescent="0.45">
      <c r="A2498" s="180" t="s">
        <v>7</v>
      </c>
      <c r="B2498" s="73">
        <v>22</v>
      </c>
      <c r="C2498" s="73">
        <v>22</v>
      </c>
      <c r="D2498" s="180" t="s">
        <v>618</v>
      </c>
      <c r="E2498" s="39">
        <v>43601</v>
      </c>
      <c r="F2498" s="179">
        <v>0.5756944444444444</v>
      </c>
      <c r="G2498" s="180">
        <v>1</v>
      </c>
      <c r="H2498" s="180"/>
      <c r="I2498" s="180"/>
    </row>
    <row r="2499" spans="1:9" x14ac:dyDescent="0.45">
      <c r="A2499" s="180" t="s">
        <v>7</v>
      </c>
      <c r="B2499" s="73">
        <v>8</v>
      </c>
      <c r="C2499" s="73">
        <v>8</v>
      </c>
      <c r="D2499" s="180" t="s">
        <v>600</v>
      </c>
      <c r="E2499" s="39">
        <v>43603</v>
      </c>
      <c r="F2499" s="179">
        <v>0.70277777777777783</v>
      </c>
      <c r="G2499" s="180">
        <v>5</v>
      </c>
      <c r="H2499" s="180" t="s">
        <v>628</v>
      </c>
      <c r="I2499" s="180"/>
    </row>
    <row r="2500" spans="1:9" x14ac:dyDescent="0.45">
      <c r="A2500" s="180" t="s">
        <v>7</v>
      </c>
      <c r="B2500" s="73">
        <v>8</v>
      </c>
      <c r="C2500" s="73"/>
      <c r="D2500" s="180" t="s">
        <v>600</v>
      </c>
      <c r="E2500" s="39">
        <v>43603</v>
      </c>
      <c r="F2500" s="179">
        <v>0.70277777777777783</v>
      </c>
      <c r="G2500" s="180">
        <v>5</v>
      </c>
      <c r="H2500" s="180" t="s">
        <v>628</v>
      </c>
      <c r="I2500" s="180"/>
    </row>
    <row r="2501" spans="1:9" x14ac:dyDescent="0.45">
      <c r="A2501" s="180" t="s">
        <v>7</v>
      </c>
      <c r="B2501" s="73">
        <v>2</v>
      </c>
      <c r="C2501" s="73">
        <v>2</v>
      </c>
      <c r="D2501" s="180" t="s">
        <v>600</v>
      </c>
      <c r="E2501" s="39">
        <v>43605</v>
      </c>
      <c r="F2501" s="179">
        <v>0.31180555555555556</v>
      </c>
      <c r="G2501" s="180">
        <v>1</v>
      </c>
      <c r="H2501" s="180"/>
      <c r="I2501" s="180"/>
    </row>
    <row r="2502" spans="1:9" x14ac:dyDescent="0.45">
      <c r="A2502" s="180" t="s">
        <v>7</v>
      </c>
      <c r="B2502" s="73">
        <v>3</v>
      </c>
      <c r="C2502" s="73"/>
      <c r="D2502" s="180" t="s">
        <v>635</v>
      </c>
      <c r="E2502" s="39">
        <v>43606</v>
      </c>
      <c r="F2502" s="179">
        <v>0.34097222222222223</v>
      </c>
      <c r="G2502" s="180">
        <v>1</v>
      </c>
      <c r="H2502" s="180"/>
      <c r="I2502" s="180"/>
    </row>
    <row r="2503" spans="1:9" x14ac:dyDescent="0.45">
      <c r="A2503" s="180" t="s">
        <v>7</v>
      </c>
      <c r="B2503" s="73">
        <v>5</v>
      </c>
      <c r="C2503" s="73">
        <v>5</v>
      </c>
      <c r="D2503" s="180" t="s">
        <v>635</v>
      </c>
      <c r="E2503" s="39">
        <v>43608</v>
      </c>
      <c r="F2503" s="179">
        <v>0.92222222222222217</v>
      </c>
      <c r="G2503" s="180">
        <v>3</v>
      </c>
      <c r="H2503" s="180" t="s">
        <v>636</v>
      </c>
      <c r="I2503" s="180"/>
    </row>
    <row r="2504" spans="1:9" x14ac:dyDescent="0.45">
      <c r="A2504" s="180" t="s">
        <v>7</v>
      </c>
      <c r="B2504" s="73">
        <v>5</v>
      </c>
      <c r="C2504" s="73"/>
      <c r="D2504" s="180" t="s">
        <v>635</v>
      </c>
      <c r="E2504" s="39">
        <v>43608</v>
      </c>
      <c r="F2504" s="179">
        <v>0.92222222222222217</v>
      </c>
      <c r="G2504" s="180">
        <v>3</v>
      </c>
      <c r="H2504" s="180" t="s">
        <v>636</v>
      </c>
      <c r="I2504" s="180"/>
    </row>
    <row r="2505" spans="1:9" x14ac:dyDescent="0.45">
      <c r="A2505" s="1" t="s">
        <v>273</v>
      </c>
      <c r="B2505" s="73"/>
      <c r="C2505" s="73">
        <f>SUM(C2443:C2504)</f>
        <v>138</v>
      </c>
      <c r="D2505" s="180"/>
      <c r="E2505" s="39"/>
      <c r="F2505" s="179"/>
      <c r="G2505" s="180"/>
      <c r="H2505" s="180"/>
      <c r="I2505" s="180"/>
    </row>
    <row r="2506" spans="1:9" x14ac:dyDescent="0.45">
      <c r="A2506" s="180"/>
      <c r="B2506" s="73"/>
      <c r="C2506" s="73"/>
      <c r="D2506" s="180"/>
      <c r="E2506" s="39"/>
      <c r="F2506" s="179"/>
      <c r="G2506" s="180"/>
      <c r="H2506" s="180"/>
      <c r="I2506" s="180"/>
    </row>
    <row r="2507" spans="1:9" x14ac:dyDescent="0.45">
      <c r="A2507" s="180" t="s">
        <v>81</v>
      </c>
      <c r="B2507" s="73">
        <v>1</v>
      </c>
      <c r="C2507" s="73">
        <v>1</v>
      </c>
      <c r="D2507" s="180" t="s">
        <v>653</v>
      </c>
      <c r="E2507" s="39">
        <v>43572</v>
      </c>
      <c r="F2507" s="179">
        <v>0.42708333333333331</v>
      </c>
      <c r="G2507" s="180">
        <v>1</v>
      </c>
      <c r="H2507" s="180"/>
      <c r="I2507" s="180" t="s">
        <v>654</v>
      </c>
    </row>
    <row r="2508" spans="1:9" x14ac:dyDescent="0.45">
      <c r="A2508" s="180" t="s">
        <v>81</v>
      </c>
      <c r="B2508" s="73">
        <v>1</v>
      </c>
      <c r="C2508" s="73">
        <v>1</v>
      </c>
      <c r="D2508" s="180" t="s">
        <v>653</v>
      </c>
      <c r="E2508" s="39">
        <v>43573</v>
      </c>
      <c r="F2508" s="179">
        <v>0.9375</v>
      </c>
      <c r="G2508" s="180">
        <v>1</v>
      </c>
      <c r="H2508" s="180" t="s">
        <v>655</v>
      </c>
      <c r="I2508" s="180" t="s">
        <v>656</v>
      </c>
    </row>
    <row r="2509" spans="1:9" x14ac:dyDescent="0.45">
      <c r="A2509" s="180" t="s">
        <v>81</v>
      </c>
      <c r="B2509" s="73">
        <v>2</v>
      </c>
      <c r="C2509" s="73">
        <v>2</v>
      </c>
      <c r="D2509" s="180" t="s">
        <v>638</v>
      </c>
      <c r="E2509" s="39">
        <v>43590</v>
      </c>
      <c r="F2509" s="179">
        <v>0.39583333333333331</v>
      </c>
      <c r="G2509" s="180">
        <v>1</v>
      </c>
      <c r="H2509" s="180"/>
      <c r="I2509" s="180"/>
    </row>
    <row r="2510" spans="1:9" x14ac:dyDescent="0.45">
      <c r="A2510" s="180" t="s">
        <v>81</v>
      </c>
      <c r="B2510" s="73">
        <v>2</v>
      </c>
      <c r="C2510" s="73">
        <v>2</v>
      </c>
      <c r="D2510" s="180" t="s">
        <v>600</v>
      </c>
      <c r="E2510" s="39">
        <v>43596</v>
      </c>
      <c r="F2510" s="179">
        <v>0.3125</v>
      </c>
      <c r="G2510" s="180">
        <v>4</v>
      </c>
      <c r="H2510" s="180" t="s">
        <v>629</v>
      </c>
      <c r="I2510" s="180"/>
    </row>
    <row r="2511" spans="1:9" x14ac:dyDescent="0.45">
      <c r="A2511" s="180" t="s">
        <v>81</v>
      </c>
      <c r="B2511" s="73">
        <v>1</v>
      </c>
      <c r="C2511" s="73"/>
      <c r="D2511" s="180" t="s">
        <v>600</v>
      </c>
      <c r="E2511" s="39">
        <v>43597</v>
      </c>
      <c r="F2511" s="179">
        <v>0.46527777777777773</v>
      </c>
      <c r="G2511" s="180">
        <v>1</v>
      </c>
      <c r="H2511" s="180" t="s">
        <v>610</v>
      </c>
      <c r="I2511" s="180" t="s">
        <v>596</v>
      </c>
    </row>
    <row r="2512" spans="1:9" x14ac:dyDescent="0.45">
      <c r="A2512" s="180" t="s">
        <v>81</v>
      </c>
      <c r="B2512" s="73">
        <v>2</v>
      </c>
      <c r="C2512" s="73">
        <v>2</v>
      </c>
      <c r="D2512" s="180" t="s">
        <v>600</v>
      </c>
      <c r="E2512" s="39">
        <v>43597</v>
      </c>
      <c r="F2512" s="179">
        <v>0.28819444444444448</v>
      </c>
      <c r="G2512" s="180">
        <v>6</v>
      </c>
      <c r="H2512" s="180" t="s">
        <v>609</v>
      </c>
      <c r="I2512" s="180"/>
    </row>
    <row r="2513" spans="1:9" x14ac:dyDescent="0.45">
      <c r="A2513" s="180" t="s">
        <v>81</v>
      </c>
      <c r="B2513" s="73">
        <v>1</v>
      </c>
      <c r="C2513" s="73"/>
      <c r="D2513" s="180" t="s">
        <v>638</v>
      </c>
      <c r="E2513" s="39">
        <v>43598</v>
      </c>
      <c r="F2513" s="179">
        <v>0.6743055555555556</v>
      </c>
      <c r="G2513" s="180">
        <v>1</v>
      </c>
      <c r="H2513" s="180"/>
      <c r="I2513" s="180"/>
    </row>
    <row r="2514" spans="1:9" x14ac:dyDescent="0.45">
      <c r="A2514" s="180" t="s">
        <v>81</v>
      </c>
      <c r="B2514" s="73">
        <v>2</v>
      </c>
      <c r="C2514" s="73">
        <v>2</v>
      </c>
      <c r="D2514" s="180" t="s">
        <v>638</v>
      </c>
      <c r="E2514" s="39">
        <v>43598</v>
      </c>
      <c r="F2514" s="179">
        <v>0.39999999999999997</v>
      </c>
      <c r="G2514" s="180">
        <v>1</v>
      </c>
      <c r="H2514" s="180"/>
      <c r="I2514" s="180"/>
    </row>
    <row r="2515" spans="1:9" x14ac:dyDescent="0.45">
      <c r="A2515" s="180" t="s">
        <v>81</v>
      </c>
      <c r="B2515" s="73">
        <v>1</v>
      </c>
      <c r="C2515" s="73">
        <v>1</v>
      </c>
      <c r="D2515" s="180" t="s">
        <v>638</v>
      </c>
      <c r="E2515" s="39">
        <v>43599</v>
      </c>
      <c r="F2515" s="179">
        <v>0.74375000000000002</v>
      </c>
      <c r="G2515" s="180">
        <v>1</v>
      </c>
      <c r="H2515" s="180"/>
      <c r="I2515" s="180"/>
    </row>
    <row r="2516" spans="1:9" x14ac:dyDescent="0.45">
      <c r="A2516" s="180" t="s">
        <v>81</v>
      </c>
      <c r="B2516" s="73">
        <v>1</v>
      </c>
      <c r="C2516" s="73">
        <v>1</v>
      </c>
      <c r="D2516" s="180" t="s">
        <v>638</v>
      </c>
      <c r="E2516" s="39">
        <v>43600</v>
      </c>
      <c r="F2516" s="179">
        <v>0.77013888888888893</v>
      </c>
      <c r="G2516" s="180">
        <v>1</v>
      </c>
      <c r="H2516" s="180"/>
      <c r="I2516" s="180"/>
    </row>
    <row r="2517" spans="1:9" x14ac:dyDescent="0.45">
      <c r="A2517" s="180" t="s">
        <v>81</v>
      </c>
      <c r="B2517" s="73">
        <v>1</v>
      </c>
      <c r="C2517" s="73">
        <v>1</v>
      </c>
      <c r="D2517" s="180" t="s">
        <v>635</v>
      </c>
      <c r="E2517" s="39">
        <v>43606</v>
      </c>
      <c r="F2517" s="179">
        <v>0.34097222222222223</v>
      </c>
      <c r="G2517" s="180">
        <v>1</v>
      </c>
      <c r="H2517" s="180"/>
      <c r="I2517" s="180"/>
    </row>
    <row r="2518" spans="1:9" x14ac:dyDescent="0.45">
      <c r="A2518" s="180" t="s">
        <v>81</v>
      </c>
      <c r="B2518" s="73">
        <v>1</v>
      </c>
      <c r="C2518" s="73">
        <v>1</v>
      </c>
      <c r="D2518" s="180" t="s">
        <v>638</v>
      </c>
      <c r="E2518" s="39">
        <v>43610</v>
      </c>
      <c r="F2518" s="179">
        <v>0.50763888888888886</v>
      </c>
      <c r="G2518" s="180">
        <v>1</v>
      </c>
      <c r="H2518" s="180"/>
      <c r="I2518" s="180"/>
    </row>
    <row r="2519" spans="1:9" x14ac:dyDescent="0.45">
      <c r="A2519" s="1" t="s">
        <v>273</v>
      </c>
      <c r="B2519" s="180"/>
      <c r="C2519" s="73">
        <f>SUM(C2507:C2518)</f>
        <v>14</v>
      </c>
      <c r="D2519" s="180"/>
      <c r="E2519" s="180"/>
      <c r="F2519" s="180"/>
      <c r="G2519" s="180"/>
      <c r="H2519" s="180"/>
      <c r="I2519" s="180"/>
    </row>
    <row r="2520" spans="1:9" x14ac:dyDescent="0.45">
      <c r="A2520" s="180"/>
      <c r="B2520" s="180"/>
      <c r="C2520" s="180"/>
      <c r="D2520" s="180"/>
      <c r="E2520" s="180"/>
      <c r="F2520" s="180"/>
      <c r="G2520" s="180"/>
      <c r="H2520" s="180"/>
      <c r="I2520" s="180"/>
    </row>
    <row r="2521" spans="1:9" x14ac:dyDescent="0.45">
      <c r="A2521" s="1" t="s">
        <v>657</v>
      </c>
      <c r="B2521" s="180"/>
      <c r="C2521" s="180"/>
      <c r="D2521" s="180"/>
      <c r="E2521" s="180"/>
      <c r="F2521" s="180"/>
      <c r="G2521" s="180"/>
      <c r="H2521" s="180"/>
      <c r="I2521" s="180"/>
    </row>
    <row r="2522" spans="1:9" x14ac:dyDescent="0.45">
      <c r="A2522" s="1"/>
      <c r="B2522" s="27" t="s">
        <v>263</v>
      </c>
      <c r="C2522" s="27" t="s">
        <v>264</v>
      </c>
      <c r="D2522" s="1" t="s">
        <v>265</v>
      </c>
      <c r="E2522" s="1" t="s">
        <v>266</v>
      </c>
      <c r="F2522" s="1" t="s">
        <v>267</v>
      </c>
      <c r="G2522" s="1" t="s">
        <v>599</v>
      </c>
      <c r="H2522" s="1" t="s">
        <v>269</v>
      </c>
      <c r="I2522" s="1" t="s">
        <v>270</v>
      </c>
    </row>
    <row r="2523" spans="1:9" x14ac:dyDescent="0.45">
      <c r="A2523" s="1" t="s">
        <v>262</v>
      </c>
      <c r="B2523" s="73">
        <v>3</v>
      </c>
      <c r="C2523" s="73">
        <v>3</v>
      </c>
      <c r="D2523" s="180" t="s">
        <v>658</v>
      </c>
      <c r="E2523" s="39">
        <v>43573</v>
      </c>
      <c r="F2523" s="179">
        <v>0.53125</v>
      </c>
      <c r="G2523" s="180">
        <v>2</v>
      </c>
      <c r="H2523" s="180" t="s">
        <v>659</v>
      </c>
      <c r="I2523" s="180"/>
    </row>
    <row r="2524" spans="1:9" x14ac:dyDescent="0.45">
      <c r="A2524" s="180" t="s">
        <v>2</v>
      </c>
      <c r="B2524" s="73">
        <v>8</v>
      </c>
      <c r="C2524" s="73">
        <v>8</v>
      </c>
      <c r="D2524" s="180" t="s">
        <v>658</v>
      </c>
      <c r="E2524" s="39">
        <v>43575</v>
      </c>
      <c r="F2524" s="179">
        <v>0.64513888888888882</v>
      </c>
      <c r="G2524" s="180">
        <v>1</v>
      </c>
      <c r="H2524" s="180"/>
      <c r="I2524" s="180"/>
    </row>
    <row r="2525" spans="1:9" x14ac:dyDescent="0.45">
      <c r="A2525" s="180" t="s">
        <v>2</v>
      </c>
      <c r="B2525" s="73">
        <v>8</v>
      </c>
      <c r="C2525" s="73">
        <v>8</v>
      </c>
      <c r="D2525" s="180" t="s">
        <v>658</v>
      </c>
      <c r="E2525" s="39">
        <v>43576</v>
      </c>
      <c r="F2525" s="179">
        <v>0.65625</v>
      </c>
      <c r="G2525" s="180">
        <v>2</v>
      </c>
      <c r="H2525" s="180" t="s">
        <v>660</v>
      </c>
      <c r="I2525" s="180"/>
    </row>
    <row r="2526" spans="1:9" x14ac:dyDescent="0.45">
      <c r="A2526" s="180" t="s">
        <v>2</v>
      </c>
      <c r="B2526" s="73">
        <v>16</v>
      </c>
      <c r="C2526" s="73">
        <v>16</v>
      </c>
      <c r="D2526" s="180" t="s">
        <v>658</v>
      </c>
      <c r="E2526" s="39">
        <v>43578</v>
      </c>
      <c r="F2526" s="179">
        <v>0.69791666666666663</v>
      </c>
      <c r="G2526" s="180">
        <v>2</v>
      </c>
      <c r="H2526" s="180" t="s">
        <v>661</v>
      </c>
      <c r="I2526" s="180"/>
    </row>
    <row r="2527" spans="1:9" x14ac:dyDescent="0.45">
      <c r="A2527" s="180" t="s">
        <v>2</v>
      </c>
      <c r="B2527" s="73">
        <v>2</v>
      </c>
      <c r="C2527" s="73">
        <v>2</v>
      </c>
      <c r="D2527" s="180" t="s">
        <v>658</v>
      </c>
      <c r="E2527" s="39">
        <v>43583</v>
      </c>
      <c r="F2527" s="179">
        <v>0.40277777777777773</v>
      </c>
      <c r="G2527" s="180">
        <v>2</v>
      </c>
      <c r="H2527" s="180" t="s">
        <v>662</v>
      </c>
      <c r="I2527" s="180"/>
    </row>
    <row r="2528" spans="1:9" x14ac:dyDescent="0.45">
      <c r="A2528" s="180" t="s">
        <v>2</v>
      </c>
      <c r="B2528" s="73">
        <v>12</v>
      </c>
      <c r="C2528" s="73">
        <v>12</v>
      </c>
      <c r="D2528" s="180" t="s">
        <v>663</v>
      </c>
      <c r="E2528" s="39">
        <v>43586</v>
      </c>
      <c r="F2528" s="179">
        <v>0.53472222222222221</v>
      </c>
      <c r="G2528" s="180">
        <v>2</v>
      </c>
      <c r="H2528" s="180"/>
      <c r="I2528" s="180"/>
    </row>
    <row r="2529" spans="1:9" x14ac:dyDescent="0.45">
      <c r="A2529" s="180" t="s">
        <v>2</v>
      </c>
      <c r="B2529" s="73">
        <v>12</v>
      </c>
      <c r="C2529" s="73"/>
      <c r="D2529" s="180" t="s">
        <v>663</v>
      </c>
      <c r="E2529" s="39">
        <v>43586</v>
      </c>
      <c r="F2529" s="179">
        <v>0.53472222222222221</v>
      </c>
      <c r="G2529" s="180">
        <v>2</v>
      </c>
      <c r="H2529" s="180"/>
      <c r="I2529" s="180"/>
    </row>
    <row r="2530" spans="1:9" x14ac:dyDescent="0.45">
      <c r="A2530" s="180" t="s">
        <v>2</v>
      </c>
      <c r="B2530" s="73">
        <v>3</v>
      </c>
      <c r="C2530" s="73">
        <v>3</v>
      </c>
      <c r="D2530" s="180" t="s">
        <v>658</v>
      </c>
      <c r="E2530" s="39">
        <v>43588</v>
      </c>
      <c r="F2530" s="179">
        <v>0.53125</v>
      </c>
      <c r="G2530" s="180">
        <v>2</v>
      </c>
      <c r="H2530" s="180" t="s">
        <v>664</v>
      </c>
      <c r="I2530" s="180"/>
    </row>
    <row r="2531" spans="1:9" x14ac:dyDescent="0.45">
      <c r="A2531" s="180" t="s">
        <v>2</v>
      </c>
      <c r="B2531" s="73">
        <v>1</v>
      </c>
      <c r="C2531" s="73">
        <v>1</v>
      </c>
      <c r="D2531" s="180" t="s">
        <v>658</v>
      </c>
      <c r="E2531" s="39">
        <v>43589</v>
      </c>
      <c r="F2531" s="179">
        <v>0.59583333333333333</v>
      </c>
      <c r="G2531" s="180">
        <v>1</v>
      </c>
      <c r="H2531" s="180"/>
      <c r="I2531" s="180"/>
    </row>
    <row r="2532" spans="1:9" x14ac:dyDescent="0.45">
      <c r="A2532" s="180" t="s">
        <v>2</v>
      </c>
      <c r="B2532" s="73">
        <v>6</v>
      </c>
      <c r="C2532" s="73">
        <v>6</v>
      </c>
      <c r="D2532" s="180" t="s">
        <v>658</v>
      </c>
      <c r="E2532" s="39">
        <v>43593</v>
      </c>
      <c r="F2532" s="179">
        <v>0.67361111111111116</v>
      </c>
      <c r="G2532" s="180">
        <v>5</v>
      </c>
      <c r="H2532" s="180" t="s">
        <v>665</v>
      </c>
      <c r="I2532" s="180"/>
    </row>
    <row r="2533" spans="1:9" x14ac:dyDescent="0.45">
      <c r="A2533" s="180" t="s">
        <v>2</v>
      </c>
      <c r="B2533" s="73">
        <v>3</v>
      </c>
      <c r="C2533" s="73"/>
      <c r="D2533" s="180" t="s">
        <v>658</v>
      </c>
      <c r="E2533" s="39">
        <v>43595</v>
      </c>
      <c r="F2533" s="179">
        <v>0.53125</v>
      </c>
      <c r="G2533" s="180">
        <v>2</v>
      </c>
      <c r="H2533" s="180" t="s">
        <v>666</v>
      </c>
      <c r="I2533" s="180"/>
    </row>
    <row r="2534" spans="1:9" x14ac:dyDescent="0.45">
      <c r="A2534" s="180" t="s">
        <v>2</v>
      </c>
      <c r="B2534" s="73">
        <v>3</v>
      </c>
      <c r="C2534" s="73"/>
      <c r="D2534" s="180" t="s">
        <v>658</v>
      </c>
      <c r="E2534" s="39">
        <v>43595</v>
      </c>
      <c r="F2534" s="179">
        <v>0.53125</v>
      </c>
      <c r="G2534" s="180">
        <v>2</v>
      </c>
      <c r="H2534" s="180" t="s">
        <v>666</v>
      </c>
      <c r="I2534" s="180"/>
    </row>
    <row r="2535" spans="1:9" x14ac:dyDescent="0.45">
      <c r="A2535" s="180" t="s">
        <v>2</v>
      </c>
      <c r="B2535" s="73">
        <v>4</v>
      </c>
      <c r="C2535" s="73">
        <v>4</v>
      </c>
      <c r="D2535" s="180" t="s">
        <v>658</v>
      </c>
      <c r="E2535" s="39">
        <v>43595</v>
      </c>
      <c r="F2535" s="179">
        <v>0.34513888888888888</v>
      </c>
      <c r="G2535" s="180">
        <v>1</v>
      </c>
      <c r="H2535" s="180"/>
      <c r="I2535" s="180"/>
    </row>
    <row r="2536" spans="1:9" x14ac:dyDescent="0.45">
      <c r="A2536" s="180" t="s">
        <v>2</v>
      </c>
      <c r="B2536" s="73">
        <v>4</v>
      </c>
      <c r="C2536" s="73"/>
      <c r="D2536" s="180" t="s">
        <v>658</v>
      </c>
      <c r="E2536" s="39">
        <v>43595</v>
      </c>
      <c r="F2536" s="179">
        <v>0.75694444444444453</v>
      </c>
      <c r="G2536" s="180">
        <v>6</v>
      </c>
      <c r="H2536" s="180" t="s">
        <v>667</v>
      </c>
      <c r="I2536" s="180"/>
    </row>
    <row r="2537" spans="1:9" x14ac:dyDescent="0.45">
      <c r="A2537" s="180" t="s">
        <v>2</v>
      </c>
      <c r="B2537" s="73">
        <v>4</v>
      </c>
      <c r="C2537" s="73">
        <v>4</v>
      </c>
      <c r="D2537" s="180" t="s">
        <v>658</v>
      </c>
      <c r="E2537" s="39">
        <v>43598</v>
      </c>
      <c r="F2537" s="179">
        <v>0.51736111111111105</v>
      </c>
      <c r="G2537" s="180">
        <v>3</v>
      </c>
      <c r="H2537" s="180" t="s">
        <v>668</v>
      </c>
      <c r="I2537" s="180"/>
    </row>
    <row r="2538" spans="1:9" x14ac:dyDescent="0.45">
      <c r="A2538" s="180" t="s">
        <v>2</v>
      </c>
      <c r="B2538" s="73">
        <v>4</v>
      </c>
      <c r="C2538" s="73"/>
      <c r="D2538" s="180" t="s">
        <v>658</v>
      </c>
      <c r="E2538" s="39">
        <v>43598</v>
      </c>
      <c r="F2538" s="179">
        <v>0.51736111111111105</v>
      </c>
      <c r="G2538" s="180">
        <v>3</v>
      </c>
      <c r="H2538" s="180" t="s">
        <v>668</v>
      </c>
      <c r="I2538" s="180"/>
    </row>
    <row r="2539" spans="1:9" x14ac:dyDescent="0.45">
      <c r="A2539" s="180" t="s">
        <v>2</v>
      </c>
      <c r="B2539" s="73">
        <v>8</v>
      </c>
      <c r="C2539" s="73">
        <v>8</v>
      </c>
      <c r="D2539" s="180" t="s">
        <v>658</v>
      </c>
      <c r="E2539" s="39">
        <v>43599</v>
      </c>
      <c r="F2539" s="179">
        <v>0.39583333333333331</v>
      </c>
      <c r="G2539" s="180">
        <v>1</v>
      </c>
      <c r="H2539" s="180"/>
      <c r="I2539" s="180"/>
    </row>
    <row r="2540" spans="1:9" x14ac:dyDescent="0.45">
      <c r="A2540" s="180" t="s">
        <v>2</v>
      </c>
      <c r="B2540" s="73">
        <v>8</v>
      </c>
      <c r="C2540" s="73"/>
      <c r="D2540" s="180" t="s">
        <v>658</v>
      </c>
      <c r="E2540" s="39">
        <v>43599</v>
      </c>
      <c r="F2540" s="179">
        <v>0.40277777777777773</v>
      </c>
      <c r="G2540" s="180">
        <v>5</v>
      </c>
      <c r="H2540" s="180" t="s">
        <v>669</v>
      </c>
      <c r="I2540" s="180"/>
    </row>
    <row r="2541" spans="1:9" x14ac:dyDescent="0.45">
      <c r="A2541" s="180" t="s">
        <v>2</v>
      </c>
      <c r="B2541" s="73">
        <v>3</v>
      </c>
      <c r="C2541" s="73">
        <v>3</v>
      </c>
      <c r="D2541" s="180" t="s">
        <v>670</v>
      </c>
      <c r="E2541" s="39">
        <v>43600</v>
      </c>
      <c r="F2541" s="179">
        <v>0.6333333333333333</v>
      </c>
      <c r="G2541" s="180">
        <v>2</v>
      </c>
      <c r="H2541" s="180"/>
      <c r="I2541" s="180"/>
    </row>
    <row r="2542" spans="1:9" x14ac:dyDescent="0.45">
      <c r="A2542" s="180" t="s">
        <v>2</v>
      </c>
      <c r="B2542" s="73">
        <v>3</v>
      </c>
      <c r="C2542" s="73"/>
      <c r="D2542" s="180" t="s">
        <v>670</v>
      </c>
      <c r="E2542" s="39">
        <v>43600</v>
      </c>
      <c r="F2542" s="179">
        <v>0.6333333333333333</v>
      </c>
      <c r="G2542" s="180">
        <v>2</v>
      </c>
      <c r="H2542" s="180"/>
      <c r="I2542" s="180"/>
    </row>
    <row r="2543" spans="1:9" x14ac:dyDescent="0.45">
      <c r="A2543" s="180" t="s">
        <v>2</v>
      </c>
      <c r="B2543" s="73">
        <v>3</v>
      </c>
      <c r="C2543" s="73"/>
      <c r="D2543" s="180" t="s">
        <v>658</v>
      </c>
      <c r="E2543" s="39">
        <v>43600</v>
      </c>
      <c r="F2543" s="179">
        <v>0.46527777777777773</v>
      </c>
      <c r="G2543" s="180">
        <v>2</v>
      </c>
      <c r="H2543" s="180"/>
      <c r="I2543" s="180"/>
    </row>
    <row r="2544" spans="1:9" x14ac:dyDescent="0.45">
      <c r="A2544" s="180" t="s">
        <v>2</v>
      </c>
      <c r="B2544" s="73">
        <f>SUM(B2523:B2543)</f>
        <v>118</v>
      </c>
      <c r="C2544" s="73">
        <f>SUM(C2523:C2543)</f>
        <v>78</v>
      </c>
      <c r="D2544" s="180"/>
      <c r="E2544" s="39"/>
      <c r="F2544" s="179"/>
      <c r="G2544" s="180"/>
      <c r="H2544" s="180"/>
      <c r="I2544" s="180"/>
    </row>
    <row r="2545" spans="1:9" x14ac:dyDescent="0.45">
      <c r="A2545" s="1" t="s">
        <v>273</v>
      </c>
      <c r="B2545" s="73"/>
      <c r="C2545" s="73"/>
      <c r="D2545" s="180"/>
      <c r="E2545" s="39"/>
      <c r="F2545" s="179"/>
      <c r="G2545" s="180"/>
      <c r="H2545" s="180"/>
      <c r="I2545" s="180"/>
    </row>
    <row r="2546" spans="1:9" x14ac:dyDescent="0.45">
      <c r="A2546" s="1"/>
      <c r="B2546" s="73">
        <v>6</v>
      </c>
      <c r="C2546" s="73">
        <v>6</v>
      </c>
      <c r="D2546" s="180" t="s">
        <v>658</v>
      </c>
      <c r="E2546" s="39">
        <v>43588</v>
      </c>
      <c r="F2546" s="179">
        <v>0.53125</v>
      </c>
      <c r="G2546" s="180">
        <v>2</v>
      </c>
      <c r="H2546" s="180" t="s">
        <v>664</v>
      </c>
      <c r="I2546" s="180"/>
    </row>
    <row r="2547" spans="1:9" x14ac:dyDescent="0.45">
      <c r="A2547" s="180" t="s">
        <v>14</v>
      </c>
      <c r="B2547" s="73">
        <v>6</v>
      </c>
      <c r="C2547" s="73"/>
      <c r="D2547" s="180" t="s">
        <v>658</v>
      </c>
      <c r="E2547" s="39">
        <v>43593</v>
      </c>
      <c r="F2547" s="179">
        <v>0.35416666666666669</v>
      </c>
      <c r="G2547" s="180">
        <v>4</v>
      </c>
      <c r="H2547" s="180" t="s">
        <v>671</v>
      </c>
      <c r="I2547" s="180"/>
    </row>
    <row r="2548" spans="1:9" x14ac:dyDescent="0.45">
      <c r="A2548" s="180" t="s">
        <v>14</v>
      </c>
      <c r="B2548" s="73">
        <v>1700</v>
      </c>
      <c r="C2548" s="73">
        <v>1700</v>
      </c>
      <c r="D2548" s="180" t="s">
        <v>658</v>
      </c>
      <c r="E2548" s="39">
        <v>43593</v>
      </c>
      <c r="F2548" s="179">
        <v>0.67361111111111116</v>
      </c>
      <c r="G2548" s="180">
        <v>5</v>
      </c>
      <c r="H2548" s="180" t="s">
        <v>665</v>
      </c>
      <c r="I2548" s="180"/>
    </row>
    <row r="2549" spans="1:9" x14ac:dyDescent="0.45">
      <c r="A2549" s="180" t="s">
        <v>14</v>
      </c>
      <c r="B2549" s="73">
        <v>3</v>
      </c>
      <c r="C2549" s="73"/>
      <c r="D2549" s="180" t="s">
        <v>658</v>
      </c>
      <c r="E2549" s="39">
        <v>43595</v>
      </c>
      <c r="F2549" s="179">
        <v>0.34513888888888888</v>
      </c>
      <c r="G2549" s="180">
        <v>1</v>
      </c>
      <c r="H2549" s="180"/>
      <c r="I2549" s="180"/>
    </row>
    <row r="2550" spans="1:9" x14ac:dyDescent="0.45">
      <c r="A2550" s="180" t="s">
        <v>14</v>
      </c>
      <c r="B2550" s="73">
        <v>40</v>
      </c>
      <c r="C2550" s="73"/>
      <c r="D2550" s="180" t="s">
        <v>658</v>
      </c>
      <c r="E2550" s="39">
        <v>43595</v>
      </c>
      <c r="F2550" s="179">
        <v>0.75694444444444453</v>
      </c>
      <c r="G2550" s="180">
        <v>6</v>
      </c>
      <c r="H2550" s="180" t="s">
        <v>667</v>
      </c>
      <c r="I2550" s="180"/>
    </row>
    <row r="2551" spans="1:9" x14ac:dyDescent="0.45">
      <c r="A2551" s="180" t="s">
        <v>14</v>
      </c>
      <c r="B2551" s="73">
        <v>50</v>
      </c>
      <c r="C2551" s="73">
        <v>50</v>
      </c>
      <c r="D2551" s="180" t="s">
        <v>658</v>
      </c>
      <c r="E2551" s="39">
        <v>43595</v>
      </c>
      <c r="F2551" s="179">
        <v>0.63263888888888886</v>
      </c>
      <c r="G2551" s="180">
        <v>1</v>
      </c>
      <c r="H2551" s="180" t="s">
        <v>672</v>
      </c>
      <c r="I2551" s="180"/>
    </row>
    <row r="2552" spans="1:9" x14ac:dyDescent="0.45">
      <c r="A2552" s="180" t="s">
        <v>14</v>
      </c>
      <c r="B2552" s="73">
        <v>6</v>
      </c>
      <c r="C2552" s="73">
        <v>6</v>
      </c>
      <c r="D2552" s="180" t="s">
        <v>658</v>
      </c>
      <c r="E2552" s="39">
        <v>43598</v>
      </c>
      <c r="F2552" s="179">
        <v>0.51736111111111105</v>
      </c>
      <c r="G2552" s="180">
        <v>3</v>
      </c>
      <c r="H2552" s="180" t="s">
        <v>668</v>
      </c>
      <c r="I2552" s="180"/>
    </row>
    <row r="2553" spans="1:9" x14ac:dyDescent="0.45">
      <c r="A2553" s="180" t="s">
        <v>14</v>
      </c>
      <c r="B2553" s="73">
        <v>6</v>
      </c>
      <c r="C2553" s="73"/>
      <c r="D2553" s="180" t="s">
        <v>658</v>
      </c>
      <c r="E2553" s="39">
        <v>43598</v>
      </c>
      <c r="F2553" s="179">
        <v>0.51736111111111105</v>
      </c>
      <c r="G2553" s="180">
        <v>3</v>
      </c>
      <c r="H2553" s="180" t="s">
        <v>668</v>
      </c>
      <c r="I2553" s="180"/>
    </row>
    <row r="2554" spans="1:9" x14ac:dyDescent="0.45">
      <c r="A2554" s="180" t="s">
        <v>14</v>
      </c>
      <c r="B2554" s="73">
        <v>150</v>
      </c>
      <c r="C2554" s="73">
        <v>150</v>
      </c>
      <c r="D2554" s="180" t="s">
        <v>658</v>
      </c>
      <c r="E2554" s="39">
        <v>43599</v>
      </c>
      <c r="F2554" s="179">
        <v>0.40277777777777773</v>
      </c>
      <c r="G2554" s="180">
        <v>5</v>
      </c>
      <c r="H2554" s="180" t="s">
        <v>669</v>
      </c>
      <c r="I2554" s="180"/>
    </row>
    <row r="2555" spans="1:9" x14ac:dyDescent="0.45">
      <c r="A2555" s="180" t="s">
        <v>14</v>
      </c>
      <c r="B2555" s="73">
        <v>20</v>
      </c>
      <c r="C2555" s="73"/>
      <c r="D2555" s="180" t="s">
        <v>658</v>
      </c>
      <c r="E2555" s="39">
        <v>43599</v>
      </c>
      <c r="F2555" s="179">
        <v>0.39583333333333331</v>
      </c>
      <c r="G2555" s="180">
        <v>1</v>
      </c>
      <c r="H2555" s="180"/>
      <c r="I2555" s="180"/>
    </row>
    <row r="2556" spans="1:9" x14ac:dyDescent="0.45">
      <c r="A2556" s="180" t="s">
        <v>14</v>
      </c>
      <c r="B2556" s="73">
        <v>75</v>
      </c>
      <c r="C2556" s="73">
        <v>75</v>
      </c>
      <c r="D2556" s="180" t="s">
        <v>658</v>
      </c>
      <c r="E2556" s="39">
        <v>43600</v>
      </c>
      <c r="F2556" s="179">
        <v>0.46527777777777773</v>
      </c>
      <c r="G2556" s="180">
        <v>2</v>
      </c>
      <c r="H2556" s="180"/>
      <c r="I2556" s="180"/>
    </row>
    <row r="2557" spans="1:9" x14ac:dyDescent="0.45">
      <c r="A2557" s="180" t="s">
        <v>14</v>
      </c>
      <c r="B2557" s="73">
        <v>16</v>
      </c>
      <c r="C2557" s="73">
        <v>16</v>
      </c>
      <c r="D2557" s="180" t="s">
        <v>658</v>
      </c>
      <c r="E2557" s="39">
        <v>43603</v>
      </c>
      <c r="F2557" s="179">
        <v>0.53125</v>
      </c>
      <c r="G2557" s="180">
        <v>14</v>
      </c>
      <c r="H2557" s="180" t="s">
        <v>673</v>
      </c>
      <c r="I2557" s="180" t="s">
        <v>674</v>
      </c>
    </row>
    <row r="2558" spans="1:9" x14ac:dyDescent="0.45">
      <c r="A2558" s="180" t="s">
        <v>14</v>
      </c>
      <c r="B2558" s="73"/>
      <c r="C2558" s="73">
        <f>SUM(C2546:C2557)</f>
        <v>2003</v>
      </c>
      <c r="D2558" s="180"/>
      <c r="E2558" s="39"/>
      <c r="F2558" s="179"/>
      <c r="G2558" s="180"/>
      <c r="H2558" s="180"/>
      <c r="I2558" s="180"/>
    </row>
    <row r="2559" spans="1:9" x14ac:dyDescent="0.45">
      <c r="A2559" s="1" t="s">
        <v>273</v>
      </c>
      <c r="B2559" s="73"/>
      <c r="C2559" s="73"/>
      <c r="D2559" s="180"/>
      <c r="E2559" s="39"/>
      <c r="F2559" s="179"/>
      <c r="G2559" s="180"/>
      <c r="H2559" s="180"/>
      <c r="I2559" s="180"/>
    </row>
    <row r="2560" spans="1:9" x14ac:dyDescent="0.45">
      <c r="A2560" s="1"/>
      <c r="B2560" s="73">
        <v>1</v>
      </c>
      <c r="C2560" s="73">
        <v>1</v>
      </c>
      <c r="D2560" s="180" t="s">
        <v>670</v>
      </c>
      <c r="E2560" s="39">
        <v>43565</v>
      </c>
      <c r="F2560" s="179">
        <v>0.50347222222222221</v>
      </c>
      <c r="G2560" s="180">
        <v>2</v>
      </c>
      <c r="H2560" s="180"/>
      <c r="I2560" s="180" t="s">
        <v>675</v>
      </c>
    </row>
    <row r="2561" spans="1:9" x14ac:dyDescent="0.45">
      <c r="A2561" s="180" t="s">
        <v>3</v>
      </c>
      <c r="B2561" s="73">
        <v>1</v>
      </c>
      <c r="C2561" s="73"/>
      <c r="D2561" s="180" t="s">
        <v>670</v>
      </c>
      <c r="E2561" s="39">
        <v>43565</v>
      </c>
      <c r="F2561" s="179">
        <v>0.50347222222222221</v>
      </c>
      <c r="G2561" s="180">
        <v>2</v>
      </c>
      <c r="H2561" s="180"/>
      <c r="I2561" s="180" t="s">
        <v>675</v>
      </c>
    </row>
    <row r="2562" spans="1:9" x14ac:dyDescent="0.45">
      <c r="A2562" s="180" t="s">
        <v>3</v>
      </c>
      <c r="B2562" s="73">
        <v>1</v>
      </c>
      <c r="C2562" s="73">
        <v>1</v>
      </c>
      <c r="D2562" s="180" t="s">
        <v>658</v>
      </c>
      <c r="E2562" s="39">
        <v>43573</v>
      </c>
      <c r="F2562" s="179">
        <v>0.53125</v>
      </c>
      <c r="G2562" s="180">
        <v>2</v>
      </c>
      <c r="H2562" s="180" t="s">
        <v>659</v>
      </c>
      <c r="I2562" s="180"/>
    </row>
    <row r="2563" spans="1:9" x14ac:dyDescent="0.45">
      <c r="A2563" s="180" t="s">
        <v>3</v>
      </c>
      <c r="B2563" s="73">
        <v>1</v>
      </c>
      <c r="C2563" s="73">
        <v>1</v>
      </c>
      <c r="D2563" s="180" t="s">
        <v>658</v>
      </c>
      <c r="E2563" s="39">
        <v>43578</v>
      </c>
      <c r="F2563" s="179">
        <v>0.69791666666666663</v>
      </c>
      <c r="G2563" s="180">
        <v>2</v>
      </c>
      <c r="H2563" s="180" t="s">
        <v>661</v>
      </c>
      <c r="I2563" s="180"/>
    </row>
    <row r="2564" spans="1:9" x14ac:dyDescent="0.45">
      <c r="A2564" s="180" t="s">
        <v>3</v>
      </c>
      <c r="B2564" s="73">
        <v>5</v>
      </c>
      <c r="C2564" s="73">
        <v>5</v>
      </c>
      <c r="D2564" s="180" t="s">
        <v>658</v>
      </c>
      <c r="E2564" s="39">
        <v>43583</v>
      </c>
      <c r="F2564" s="179">
        <v>0.80902777777777779</v>
      </c>
      <c r="G2564" s="180">
        <v>6</v>
      </c>
      <c r="H2564" s="180"/>
      <c r="I2564" s="180"/>
    </row>
    <row r="2565" spans="1:9" x14ac:dyDescent="0.45">
      <c r="A2565" s="180" t="s">
        <v>3</v>
      </c>
      <c r="B2565" s="73">
        <v>1</v>
      </c>
      <c r="C2565" s="73"/>
      <c r="D2565" s="180" t="s">
        <v>658</v>
      </c>
      <c r="E2565" s="39">
        <v>43583</v>
      </c>
      <c r="F2565" s="179">
        <v>0.40277777777777773</v>
      </c>
      <c r="G2565" s="180">
        <v>2</v>
      </c>
      <c r="H2565" s="180" t="s">
        <v>662</v>
      </c>
      <c r="I2565" s="180"/>
    </row>
    <row r="2566" spans="1:9" x14ac:dyDescent="0.45">
      <c r="A2566" s="180" t="s">
        <v>3</v>
      </c>
      <c r="B2566" s="73">
        <v>1</v>
      </c>
      <c r="C2566" s="73">
        <v>1</v>
      </c>
      <c r="D2566" s="180" t="s">
        <v>663</v>
      </c>
      <c r="E2566" s="39">
        <v>43586</v>
      </c>
      <c r="F2566" s="179">
        <v>0.53472222222222221</v>
      </c>
      <c r="G2566" s="180">
        <v>2</v>
      </c>
      <c r="H2566" s="180"/>
      <c r="I2566" s="180"/>
    </row>
    <row r="2567" spans="1:9" x14ac:dyDescent="0.45">
      <c r="A2567" s="180" t="s">
        <v>3</v>
      </c>
      <c r="B2567" s="73">
        <v>1</v>
      </c>
      <c r="C2567" s="73"/>
      <c r="D2567" s="180" t="s">
        <v>663</v>
      </c>
      <c r="E2567" s="39">
        <v>43586</v>
      </c>
      <c r="F2567" s="179">
        <v>0.53472222222222221</v>
      </c>
      <c r="G2567" s="180">
        <v>2</v>
      </c>
      <c r="H2567" s="180"/>
      <c r="I2567" s="180"/>
    </row>
    <row r="2568" spans="1:9" x14ac:dyDescent="0.45">
      <c r="A2568" s="180" t="s">
        <v>3</v>
      </c>
      <c r="B2568" s="73">
        <v>2</v>
      </c>
      <c r="C2568" s="73">
        <v>2</v>
      </c>
      <c r="D2568" s="180" t="s">
        <v>658</v>
      </c>
      <c r="E2568" s="39">
        <v>43590</v>
      </c>
      <c r="F2568" s="179">
        <v>0.64583333333333337</v>
      </c>
      <c r="G2568" s="180">
        <v>1</v>
      </c>
      <c r="H2568" s="180"/>
      <c r="I2568" s="180"/>
    </row>
    <row r="2569" spans="1:9" x14ac:dyDescent="0.45">
      <c r="A2569" s="180" t="s">
        <v>3</v>
      </c>
      <c r="B2569" s="73">
        <v>2</v>
      </c>
      <c r="C2569" s="73"/>
      <c r="D2569" s="180" t="s">
        <v>663</v>
      </c>
      <c r="E2569" s="39">
        <v>43593</v>
      </c>
      <c r="F2569" s="179">
        <v>0.58333333333333337</v>
      </c>
      <c r="G2569" s="180">
        <v>4</v>
      </c>
      <c r="H2569" s="180"/>
      <c r="I2569" s="180"/>
    </row>
    <row r="2570" spans="1:9" x14ac:dyDescent="0.45">
      <c r="A2570" s="180" t="s">
        <v>3</v>
      </c>
      <c r="B2570" s="73">
        <v>2</v>
      </c>
      <c r="C2570" s="73"/>
      <c r="D2570" s="180" t="s">
        <v>663</v>
      </c>
      <c r="E2570" s="39">
        <v>43593</v>
      </c>
      <c r="F2570" s="179">
        <v>0.58333333333333337</v>
      </c>
      <c r="G2570" s="180">
        <v>4</v>
      </c>
      <c r="H2570" s="180"/>
      <c r="I2570" s="180"/>
    </row>
    <row r="2571" spans="1:9" x14ac:dyDescent="0.45">
      <c r="A2571" s="180" t="s">
        <v>3</v>
      </c>
      <c r="B2571" s="73">
        <v>2</v>
      </c>
      <c r="C2571" s="73"/>
      <c r="D2571" s="180" t="s">
        <v>658</v>
      </c>
      <c r="E2571" s="39">
        <v>43593</v>
      </c>
      <c r="F2571" s="179">
        <v>0.67361111111111116</v>
      </c>
      <c r="G2571" s="180">
        <v>5</v>
      </c>
      <c r="H2571" s="180" t="s">
        <v>665</v>
      </c>
      <c r="I2571" s="180"/>
    </row>
    <row r="2572" spans="1:9" x14ac:dyDescent="0.45">
      <c r="A2572" s="180" t="s">
        <v>3</v>
      </c>
      <c r="B2572" s="73">
        <v>3</v>
      </c>
      <c r="C2572" s="73">
        <v>3</v>
      </c>
      <c r="D2572" s="180" t="s">
        <v>658</v>
      </c>
      <c r="E2572" s="39">
        <v>43593</v>
      </c>
      <c r="F2572" s="179">
        <v>0.35416666666666669</v>
      </c>
      <c r="G2572" s="180">
        <v>4</v>
      </c>
      <c r="H2572" s="180" t="s">
        <v>671</v>
      </c>
      <c r="I2572" s="180"/>
    </row>
    <row r="2573" spans="1:9" x14ac:dyDescent="0.45">
      <c r="A2573" s="180" t="s">
        <v>3</v>
      </c>
      <c r="B2573" s="73">
        <v>1</v>
      </c>
      <c r="C2573" s="73"/>
      <c r="D2573" s="180" t="s">
        <v>658</v>
      </c>
      <c r="E2573" s="39">
        <v>43595</v>
      </c>
      <c r="F2573" s="179">
        <v>0.53125</v>
      </c>
      <c r="G2573" s="180">
        <v>2</v>
      </c>
      <c r="H2573" s="180" t="s">
        <v>666</v>
      </c>
      <c r="I2573" s="180"/>
    </row>
    <row r="2574" spans="1:9" x14ac:dyDescent="0.45">
      <c r="A2574" s="180" t="s">
        <v>3</v>
      </c>
      <c r="B2574" s="73">
        <v>1</v>
      </c>
      <c r="C2574" s="73"/>
      <c r="D2574" s="180" t="s">
        <v>658</v>
      </c>
      <c r="E2574" s="39">
        <v>43595</v>
      </c>
      <c r="F2574" s="179">
        <v>0.53125</v>
      </c>
      <c r="G2574" s="180">
        <v>2</v>
      </c>
      <c r="H2574" s="180" t="s">
        <v>666</v>
      </c>
      <c r="I2574" s="180"/>
    </row>
    <row r="2575" spans="1:9" x14ac:dyDescent="0.45">
      <c r="A2575" s="180" t="s">
        <v>3</v>
      </c>
      <c r="B2575" s="73">
        <v>3</v>
      </c>
      <c r="C2575" s="73">
        <v>3</v>
      </c>
      <c r="D2575" s="180" t="s">
        <v>658</v>
      </c>
      <c r="E2575" s="39">
        <v>43595</v>
      </c>
      <c r="F2575" s="179">
        <v>0.75694444444444453</v>
      </c>
      <c r="G2575" s="180">
        <v>6</v>
      </c>
      <c r="H2575" s="180" t="s">
        <v>667</v>
      </c>
      <c r="I2575" s="180"/>
    </row>
    <row r="2576" spans="1:9" x14ac:dyDescent="0.45">
      <c r="A2576" s="180" t="s">
        <v>3</v>
      </c>
      <c r="B2576" s="73">
        <v>2</v>
      </c>
      <c r="C2576" s="73"/>
      <c r="D2576" s="180" t="s">
        <v>658</v>
      </c>
      <c r="E2576" s="39">
        <v>43595</v>
      </c>
      <c r="F2576" s="179">
        <v>0.34513888888888888</v>
      </c>
      <c r="G2576" s="180">
        <v>1</v>
      </c>
      <c r="H2576" s="180"/>
      <c r="I2576" s="180"/>
    </row>
    <row r="2577" spans="1:9" x14ac:dyDescent="0.45">
      <c r="A2577" s="180" t="s">
        <v>3</v>
      </c>
      <c r="B2577" s="73">
        <v>2</v>
      </c>
      <c r="C2577" s="73">
        <v>2</v>
      </c>
      <c r="D2577" s="180" t="s">
        <v>658</v>
      </c>
      <c r="E2577" s="39">
        <v>43599</v>
      </c>
      <c r="F2577" s="179">
        <v>0.40277777777777773</v>
      </c>
      <c r="G2577" s="180">
        <v>5</v>
      </c>
      <c r="H2577" s="180" t="s">
        <v>669</v>
      </c>
      <c r="I2577" s="180"/>
    </row>
    <row r="2578" spans="1:9" x14ac:dyDescent="0.45">
      <c r="A2578" s="180" t="s">
        <v>3</v>
      </c>
      <c r="B2578" s="73">
        <v>2</v>
      </c>
      <c r="C2578" s="73">
        <v>2</v>
      </c>
      <c r="D2578" s="180" t="s">
        <v>670</v>
      </c>
      <c r="E2578" s="39">
        <v>43600</v>
      </c>
      <c r="F2578" s="179">
        <v>0.6333333333333333</v>
      </c>
      <c r="G2578" s="180">
        <v>2</v>
      </c>
      <c r="H2578" s="180"/>
      <c r="I2578" s="180"/>
    </row>
    <row r="2579" spans="1:9" x14ac:dyDescent="0.45">
      <c r="A2579" s="180" t="s">
        <v>3</v>
      </c>
      <c r="B2579" s="73">
        <v>2</v>
      </c>
      <c r="C2579" s="73"/>
      <c r="D2579" s="180" t="s">
        <v>670</v>
      </c>
      <c r="E2579" s="39">
        <v>43600</v>
      </c>
      <c r="F2579" s="179">
        <v>0.6333333333333333</v>
      </c>
      <c r="G2579" s="180">
        <v>2</v>
      </c>
      <c r="H2579" s="180"/>
      <c r="I2579" s="180"/>
    </row>
    <row r="2580" spans="1:9" x14ac:dyDescent="0.45">
      <c r="A2580" s="180" t="s">
        <v>3</v>
      </c>
      <c r="B2580" s="73">
        <v>2</v>
      </c>
      <c r="C2580" s="73"/>
      <c r="D2580" s="180" t="s">
        <v>658</v>
      </c>
      <c r="E2580" s="39">
        <v>43600</v>
      </c>
      <c r="F2580" s="179">
        <v>0.46527777777777773</v>
      </c>
      <c r="G2580" s="180">
        <v>2</v>
      </c>
      <c r="H2580" s="180"/>
      <c r="I2580" s="180"/>
    </row>
    <row r="2581" spans="1:9" x14ac:dyDescent="0.45">
      <c r="A2581" s="180" t="s">
        <v>3</v>
      </c>
      <c r="B2581" s="73">
        <v>2</v>
      </c>
      <c r="C2581" s="73">
        <v>2</v>
      </c>
      <c r="D2581" s="180" t="s">
        <v>658</v>
      </c>
      <c r="E2581" s="39">
        <v>43603</v>
      </c>
      <c r="F2581" s="179">
        <v>0.53125</v>
      </c>
      <c r="G2581" s="180">
        <v>14</v>
      </c>
      <c r="H2581" s="180" t="s">
        <v>673</v>
      </c>
      <c r="I2581" s="180"/>
    </row>
    <row r="2582" spans="1:9" x14ac:dyDescent="0.45">
      <c r="A2582" s="180" t="s">
        <v>3</v>
      </c>
      <c r="B2582" s="73">
        <v>2</v>
      </c>
      <c r="C2582" s="73"/>
      <c r="D2582" s="180" t="s">
        <v>658</v>
      </c>
      <c r="E2582" s="39">
        <v>43603</v>
      </c>
      <c r="F2582" s="179">
        <v>0.54652777777777783</v>
      </c>
      <c r="G2582" s="180">
        <v>3</v>
      </c>
      <c r="H2582" s="180"/>
      <c r="I2582" s="180"/>
    </row>
    <row r="2583" spans="1:9" x14ac:dyDescent="0.45">
      <c r="A2583" s="180" t="s">
        <v>3</v>
      </c>
      <c r="B2583" s="73">
        <v>3</v>
      </c>
      <c r="C2583" s="73">
        <v>3</v>
      </c>
      <c r="D2583" s="180" t="s">
        <v>658</v>
      </c>
      <c r="E2583" s="39">
        <v>43608</v>
      </c>
      <c r="F2583" s="179">
        <v>0.70138888888888884</v>
      </c>
      <c r="G2583" s="180">
        <v>2</v>
      </c>
      <c r="H2583" s="180" t="s">
        <v>676</v>
      </c>
      <c r="I2583" s="180"/>
    </row>
    <row r="2584" spans="1:9" x14ac:dyDescent="0.45">
      <c r="A2584" s="180" t="s">
        <v>3</v>
      </c>
      <c r="B2584" s="73"/>
      <c r="C2584" s="73">
        <f>SUM(C2560:C2583)</f>
        <v>26</v>
      </c>
      <c r="D2584" s="180"/>
      <c r="E2584" s="39"/>
      <c r="F2584" s="179"/>
      <c r="G2584" s="180"/>
      <c r="H2584" s="180"/>
      <c r="I2584" s="180"/>
    </row>
    <row r="2585" spans="1:9" x14ac:dyDescent="0.45">
      <c r="A2585" s="1" t="s">
        <v>273</v>
      </c>
      <c r="B2585" s="73"/>
      <c r="C2585" s="73"/>
      <c r="D2585" s="180"/>
      <c r="E2585" s="39"/>
      <c r="F2585" s="179"/>
      <c r="G2585" s="180"/>
      <c r="H2585" s="180"/>
      <c r="I2585" s="180"/>
    </row>
    <row r="2586" spans="1:9" x14ac:dyDescent="0.45">
      <c r="A2586" s="1"/>
      <c r="B2586" s="73">
        <v>1</v>
      </c>
      <c r="C2586" s="73">
        <v>1</v>
      </c>
      <c r="D2586" s="180" t="s">
        <v>658</v>
      </c>
      <c r="E2586" s="39">
        <v>43588</v>
      </c>
      <c r="F2586" s="179">
        <v>0.53125</v>
      </c>
      <c r="G2586" s="180">
        <v>2</v>
      </c>
      <c r="H2586" s="180" t="s">
        <v>664</v>
      </c>
      <c r="I2586" s="180"/>
    </row>
    <row r="2587" spans="1:9" x14ac:dyDescent="0.45">
      <c r="A2587" s="180" t="s">
        <v>51</v>
      </c>
      <c r="B2587" s="73">
        <v>2</v>
      </c>
      <c r="C2587" s="73">
        <v>2</v>
      </c>
      <c r="D2587" s="180" t="s">
        <v>663</v>
      </c>
      <c r="E2587" s="39">
        <v>43593</v>
      </c>
      <c r="F2587" s="179">
        <v>0.58333333333333337</v>
      </c>
      <c r="G2587" s="180">
        <v>4</v>
      </c>
      <c r="H2587" s="180"/>
      <c r="I2587" s="180"/>
    </row>
    <row r="2588" spans="1:9" x14ac:dyDescent="0.45">
      <c r="A2588" s="180" t="s">
        <v>51</v>
      </c>
      <c r="B2588" s="73">
        <v>2</v>
      </c>
      <c r="C2588" s="73"/>
      <c r="D2588" s="180" t="s">
        <v>663</v>
      </c>
      <c r="E2588" s="39">
        <v>43593</v>
      </c>
      <c r="F2588" s="179">
        <v>0.58333333333333337</v>
      </c>
      <c r="G2588" s="180">
        <v>4</v>
      </c>
      <c r="H2588" s="180"/>
      <c r="I2588" s="180"/>
    </row>
    <row r="2589" spans="1:9" x14ac:dyDescent="0.45">
      <c r="A2589" s="180" t="s">
        <v>51</v>
      </c>
      <c r="B2589" s="73">
        <v>4</v>
      </c>
      <c r="C2589" s="73">
        <v>4</v>
      </c>
      <c r="D2589" s="180" t="s">
        <v>658</v>
      </c>
      <c r="E2589" s="39">
        <v>43593</v>
      </c>
      <c r="F2589" s="179">
        <v>0.67361111111111116</v>
      </c>
      <c r="G2589" s="180">
        <v>5</v>
      </c>
      <c r="H2589" s="180" t="s">
        <v>665</v>
      </c>
      <c r="I2589" s="180"/>
    </row>
    <row r="2590" spans="1:9" x14ac:dyDescent="0.45">
      <c r="A2590" s="180" t="s">
        <v>51</v>
      </c>
      <c r="B2590" s="73">
        <v>1</v>
      </c>
      <c r="C2590" s="73"/>
      <c r="D2590" s="180" t="s">
        <v>658</v>
      </c>
      <c r="E2590" s="39">
        <v>43595</v>
      </c>
      <c r="F2590" s="179">
        <v>0.34513888888888888</v>
      </c>
      <c r="G2590" s="180">
        <v>1</v>
      </c>
      <c r="H2590" s="180"/>
      <c r="I2590" s="180"/>
    </row>
    <row r="2591" spans="1:9" x14ac:dyDescent="0.45">
      <c r="A2591" s="180" t="s">
        <v>51</v>
      </c>
      <c r="B2591" s="73">
        <v>4</v>
      </c>
      <c r="C2591" s="73">
        <v>4</v>
      </c>
      <c r="D2591" s="180" t="s">
        <v>658</v>
      </c>
      <c r="E2591" s="39">
        <v>43595</v>
      </c>
      <c r="F2591" s="179">
        <v>0.53125</v>
      </c>
      <c r="G2591" s="180">
        <v>2</v>
      </c>
      <c r="H2591" s="180" t="s">
        <v>666</v>
      </c>
      <c r="I2591" s="180"/>
    </row>
    <row r="2592" spans="1:9" x14ac:dyDescent="0.45">
      <c r="A2592" s="180" t="s">
        <v>51</v>
      </c>
      <c r="B2592" s="73">
        <v>4</v>
      </c>
      <c r="C2592" s="73"/>
      <c r="D2592" s="180" t="s">
        <v>658</v>
      </c>
      <c r="E2592" s="39">
        <v>43595</v>
      </c>
      <c r="F2592" s="179">
        <v>0.53125</v>
      </c>
      <c r="G2592" s="180">
        <v>2</v>
      </c>
      <c r="H2592" s="180" t="s">
        <v>666</v>
      </c>
      <c r="I2592" s="180"/>
    </row>
    <row r="2593" spans="1:9" x14ac:dyDescent="0.45">
      <c r="A2593" s="180" t="s">
        <v>51</v>
      </c>
      <c r="B2593" s="73">
        <v>2</v>
      </c>
      <c r="C2593" s="73"/>
      <c r="D2593" s="180" t="s">
        <v>658</v>
      </c>
      <c r="E2593" s="39">
        <v>43595</v>
      </c>
      <c r="F2593" s="179">
        <v>0.75694444444444453</v>
      </c>
      <c r="G2593" s="180">
        <v>6</v>
      </c>
      <c r="H2593" s="180" t="s">
        <v>667</v>
      </c>
      <c r="I2593" s="180"/>
    </row>
    <row r="2594" spans="1:9" x14ac:dyDescent="0.45">
      <c r="A2594" s="180" t="s">
        <v>51</v>
      </c>
      <c r="B2594" s="73">
        <v>1</v>
      </c>
      <c r="C2594" s="73">
        <v>1</v>
      </c>
      <c r="D2594" s="180" t="s">
        <v>658</v>
      </c>
      <c r="E2594" s="39">
        <v>43599</v>
      </c>
      <c r="F2594" s="179">
        <v>0.40277777777777773</v>
      </c>
      <c r="G2594" s="180">
        <v>5</v>
      </c>
      <c r="H2594" s="180" t="s">
        <v>669</v>
      </c>
      <c r="I2594" s="180"/>
    </row>
    <row r="2595" spans="1:9" x14ac:dyDescent="0.45">
      <c r="A2595" s="180" t="s">
        <v>51</v>
      </c>
      <c r="B2595" s="73">
        <v>2</v>
      </c>
      <c r="C2595" s="73">
        <v>2</v>
      </c>
      <c r="D2595" s="180" t="s">
        <v>658</v>
      </c>
      <c r="E2595" s="39">
        <v>43600</v>
      </c>
      <c r="F2595" s="179">
        <v>0.46527777777777773</v>
      </c>
      <c r="G2595" s="180">
        <v>2</v>
      </c>
      <c r="H2595" s="180"/>
      <c r="I2595" s="180"/>
    </row>
    <row r="2596" spans="1:9" x14ac:dyDescent="0.45">
      <c r="A2596" s="180" t="s">
        <v>51</v>
      </c>
      <c r="B2596" s="73"/>
      <c r="C2596" s="73">
        <f>SUM(C2586:C2595)</f>
        <v>14</v>
      </c>
      <c r="D2596" s="180"/>
      <c r="E2596" s="39"/>
      <c r="F2596" s="179"/>
      <c r="G2596" s="180"/>
      <c r="H2596" s="180"/>
      <c r="I2596" s="180"/>
    </row>
    <row r="2597" spans="1:9" x14ac:dyDescent="0.45">
      <c r="A2597" s="1" t="s">
        <v>273</v>
      </c>
      <c r="B2597" s="73"/>
      <c r="C2597" s="73"/>
      <c r="D2597" s="180"/>
      <c r="E2597" s="39"/>
      <c r="F2597" s="179"/>
      <c r="G2597" s="180"/>
      <c r="H2597" s="180"/>
      <c r="I2597" s="180"/>
    </row>
    <row r="2598" spans="1:9" x14ac:dyDescent="0.45">
      <c r="A2598" s="1"/>
      <c r="B2598" s="73">
        <v>25</v>
      </c>
      <c r="C2598" s="73"/>
      <c r="D2598" s="180" t="s">
        <v>658</v>
      </c>
      <c r="E2598" s="39">
        <v>43593</v>
      </c>
      <c r="F2598" s="179">
        <v>0.35416666666666669</v>
      </c>
      <c r="G2598" s="180">
        <v>4</v>
      </c>
      <c r="H2598" s="180" t="s">
        <v>671</v>
      </c>
      <c r="I2598" s="180"/>
    </row>
    <row r="2599" spans="1:9" x14ac:dyDescent="0.45">
      <c r="A2599" s="180" t="s">
        <v>12</v>
      </c>
      <c r="B2599" s="73">
        <v>2</v>
      </c>
      <c r="C2599" s="73"/>
      <c r="D2599" s="180" t="s">
        <v>658</v>
      </c>
      <c r="E2599" s="39">
        <v>43593</v>
      </c>
      <c r="F2599" s="179">
        <v>0.67361111111111116</v>
      </c>
      <c r="G2599" s="180">
        <v>5</v>
      </c>
      <c r="H2599" s="180" t="s">
        <v>665</v>
      </c>
      <c r="I2599" s="180"/>
    </row>
    <row r="2600" spans="1:9" x14ac:dyDescent="0.45">
      <c r="A2600" s="180" t="s">
        <v>12</v>
      </c>
      <c r="B2600" s="73">
        <v>2</v>
      </c>
      <c r="C2600" s="73"/>
      <c r="D2600" s="180" t="s">
        <v>658</v>
      </c>
      <c r="E2600" s="39">
        <v>43599</v>
      </c>
      <c r="F2600" s="179">
        <v>0.40277777777777773</v>
      </c>
      <c r="G2600" s="180">
        <v>5</v>
      </c>
      <c r="H2600" s="180" t="s">
        <v>669</v>
      </c>
      <c r="I2600" s="180"/>
    </row>
    <row r="2601" spans="1:9" x14ac:dyDescent="0.45">
      <c r="A2601" s="180" t="s">
        <v>12</v>
      </c>
      <c r="B2601" s="73">
        <v>4</v>
      </c>
      <c r="C2601" s="73"/>
      <c r="D2601" s="180" t="s">
        <v>658</v>
      </c>
      <c r="E2601" s="39">
        <v>43595</v>
      </c>
      <c r="F2601" s="179">
        <v>0.75694444444444453</v>
      </c>
      <c r="G2601" s="180">
        <v>6</v>
      </c>
      <c r="H2601" s="180" t="s">
        <v>667</v>
      </c>
      <c r="I2601" s="180"/>
    </row>
    <row r="2602" spans="1:9" x14ac:dyDescent="0.45">
      <c r="A2602" s="180" t="s">
        <v>12</v>
      </c>
      <c r="B2602" s="73">
        <v>2</v>
      </c>
      <c r="C2602" s="73"/>
      <c r="D2602" s="180" t="s">
        <v>658</v>
      </c>
      <c r="E2602" s="39">
        <v>43595</v>
      </c>
      <c r="F2602" s="179">
        <v>0.34513888888888888</v>
      </c>
      <c r="G2602" s="180">
        <v>1</v>
      </c>
      <c r="H2602" s="180"/>
      <c r="I2602" s="180"/>
    </row>
    <row r="2603" spans="1:9" x14ac:dyDescent="0.45">
      <c r="A2603" s="180" t="s">
        <v>12</v>
      </c>
      <c r="B2603" s="73"/>
      <c r="C2603" s="73"/>
      <c r="D2603" s="180"/>
      <c r="E2603" s="39"/>
      <c r="F2603" s="179"/>
      <c r="G2603" s="180"/>
      <c r="H2603" s="180"/>
      <c r="I2603" s="180"/>
    </row>
    <row r="2604" spans="1:9" x14ac:dyDescent="0.45">
      <c r="A2604" s="1" t="s">
        <v>273</v>
      </c>
      <c r="B2604" s="73"/>
      <c r="C2604" s="73"/>
      <c r="D2604" s="180"/>
      <c r="E2604" s="39"/>
      <c r="F2604" s="179"/>
      <c r="G2604" s="180"/>
      <c r="H2604" s="180"/>
      <c r="I2604" s="180"/>
    </row>
    <row r="2605" spans="1:9" x14ac:dyDescent="0.45">
      <c r="A2605" s="1"/>
      <c r="B2605" s="73">
        <v>1</v>
      </c>
      <c r="C2605" s="73"/>
      <c r="D2605" s="180" t="s">
        <v>658</v>
      </c>
      <c r="E2605" s="39">
        <v>43595</v>
      </c>
      <c r="F2605" s="179">
        <v>0.53125</v>
      </c>
      <c r="G2605" s="180">
        <v>2</v>
      </c>
      <c r="H2605" s="180" t="s">
        <v>666</v>
      </c>
      <c r="I2605" s="180"/>
    </row>
    <row r="2606" spans="1:9" x14ac:dyDescent="0.45">
      <c r="A2606" s="180" t="s">
        <v>4</v>
      </c>
      <c r="B2606" s="73">
        <v>1</v>
      </c>
      <c r="C2606" s="73"/>
      <c r="D2606" s="180" t="s">
        <v>658</v>
      </c>
      <c r="E2606" s="39">
        <v>43595</v>
      </c>
      <c r="F2606" s="179">
        <v>0.34513888888888888</v>
      </c>
      <c r="G2606" s="180">
        <v>1</v>
      </c>
      <c r="H2606" s="180"/>
      <c r="I2606" s="180"/>
    </row>
    <row r="2607" spans="1:9" x14ac:dyDescent="0.45">
      <c r="A2607" s="180" t="s">
        <v>4</v>
      </c>
      <c r="B2607" s="73">
        <v>1</v>
      </c>
      <c r="C2607" s="73"/>
      <c r="D2607" s="180" t="s">
        <v>658</v>
      </c>
      <c r="E2607" s="39">
        <v>43595</v>
      </c>
      <c r="F2607" s="179">
        <v>0.63263888888888886</v>
      </c>
      <c r="G2607" s="180">
        <v>1</v>
      </c>
      <c r="H2607" s="180" t="s">
        <v>672</v>
      </c>
      <c r="I2607" s="180"/>
    </row>
    <row r="2608" spans="1:9" x14ac:dyDescent="0.45">
      <c r="A2608" s="180" t="s">
        <v>4</v>
      </c>
      <c r="B2608" s="73">
        <v>1</v>
      </c>
      <c r="C2608" s="73"/>
      <c r="D2608" s="180" t="s">
        <v>658</v>
      </c>
      <c r="E2608" s="39">
        <v>43595</v>
      </c>
      <c r="F2608" s="179">
        <v>0.53125</v>
      </c>
      <c r="G2608" s="180">
        <v>2</v>
      </c>
      <c r="H2608" s="180" t="s">
        <v>666</v>
      </c>
      <c r="I2608" s="180"/>
    </row>
    <row r="2609" spans="1:9" x14ac:dyDescent="0.45">
      <c r="A2609" s="180" t="s">
        <v>4</v>
      </c>
      <c r="B2609" s="73">
        <v>2</v>
      </c>
      <c r="C2609" s="73">
        <v>2</v>
      </c>
      <c r="D2609" s="180" t="s">
        <v>658</v>
      </c>
      <c r="E2609" s="39">
        <v>43595</v>
      </c>
      <c r="F2609" s="179">
        <v>0.75694444444444453</v>
      </c>
      <c r="G2609" s="180">
        <v>6</v>
      </c>
      <c r="H2609" s="180" t="s">
        <v>667</v>
      </c>
      <c r="I2609" s="180"/>
    </row>
    <row r="2610" spans="1:9" x14ac:dyDescent="0.45">
      <c r="A2610" s="180" t="s">
        <v>4</v>
      </c>
      <c r="B2610" s="73">
        <v>2</v>
      </c>
      <c r="C2610" s="73">
        <v>2</v>
      </c>
      <c r="D2610" s="180" t="s">
        <v>658</v>
      </c>
      <c r="E2610" s="39">
        <v>43598</v>
      </c>
      <c r="F2610" s="179">
        <v>0.51736111111111105</v>
      </c>
      <c r="G2610" s="180">
        <v>3</v>
      </c>
      <c r="H2610" s="180" t="s">
        <v>668</v>
      </c>
      <c r="I2610" s="180"/>
    </row>
    <row r="2611" spans="1:9" x14ac:dyDescent="0.45">
      <c r="A2611" s="180" t="s">
        <v>4</v>
      </c>
      <c r="B2611" s="73">
        <v>2</v>
      </c>
      <c r="C2611" s="73"/>
      <c r="D2611" s="180" t="s">
        <v>658</v>
      </c>
      <c r="E2611" s="39">
        <v>43598</v>
      </c>
      <c r="F2611" s="179">
        <v>0.51736111111111105</v>
      </c>
      <c r="G2611" s="180">
        <v>3</v>
      </c>
      <c r="H2611" s="180" t="s">
        <v>668</v>
      </c>
      <c r="I2611" s="180"/>
    </row>
    <row r="2612" spans="1:9" x14ac:dyDescent="0.45">
      <c r="A2612" s="180" t="s">
        <v>4</v>
      </c>
      <c r="B2612" s="73">
        <v>1</v>
      </c>
      <c r="C2612" s="73">
        <v>1</v>
      </c>
      <c r="D2612" s="180" t="s">
        <v>658</v>
      </c>
      <c r="E2612" s="39">
        <v>43599</v>
      </c>
      <c r="F2612" s="179">
        <v>0.40277777777777773</v>
      </c>
      <c r="G2612" s="180">
        <v>5</v>
      </c>
      <c r="H2612" s="180" t="s">
        <v>669</v>
      </c>
      <c r="I2612" s="180"/>
    </row>
    <row r="2613" spans="1:9" x14ac:dyDescent="0.45">
      <c r="A2613" s="180" t="s">
        <v>4</v>
      </c>
      <c r="B2613" s="73">
        <v>1</v>
      </c>
      <c r="C2613" s="73">
        <v>1</v>
      </c>
      <c r="D2613" s="180" t="s">
        <v>658</v>
      </c>
      <c r="E2613" s="39">
        <v>43600</v>
      </c>
      <c r="F2613" s="179">
        <v>0.46527777777777773</v>
      </c>
      <c r="G2613" s="180">
        <v>2</v>
      </c>
      <c r="H2613" s="180"/>
      <c r="I2613" s="180"/>
    </row>
    <row r="2614" spans="1:9" x14ac:dyDescent="0.45">
      <c r="A2614" s="180" t="s">
        <v>4</v>
      </c>
      <c r="B2614" s="73">
        <v>2</v>
      </c>
      <c r="C2614" s="73">
        <v>2</v>
      </c>
      <c r="D2614" s="180" t="s">
        <v>658</v>
      </c>
      <c r="E2614" s="39">
        <v>43603</v>
      </c>
      <c r="F2614" s="179">
        <v>0.54652777777777783</v>
      </c>
      <c r="G2614" s="180">
        <v>3</v>
      </c>
      <c r="H2614" s="180"/>
      <c r="I2614" s="180"/>
    </row>
    <row r="2615" spans="1:9" x14ac:dyDescent="0.45">
      <c r="A2615" s="180" t="s">
        <v>4</v>
      </c>
      <c r="B2615" s="73">
        <v>2</v>
      </c>
      <c r="C2615" s="73"/>
      <c r="D2615" s="180" t="s">
        <v>658</v>
      </c>
      <c r="E2615" s="39">
        <v>43603</v>
      </c>
      <c r="F2615" s="179">
        <v>0.53125</v>
      </c>
      <c r="G2615" s="180">
        <v>14</v>
      </c>
      <c r="H2615" s="180" t="s">
        <v>673</v>
      </c>
      <c r="I2615" s="180"/>
    </row>
    <row r="2616" spans="1:9" x14ac:dyDescent="0.45">
      <c r="A2616" s="180" t="s">
        <v>4</v>
      </c>
      <c r="B2616" s="73">
        <v>3</v>
      </c>
      <c r="C2616" s="73">
        <v>3</v>
      </c>
      <c r="D2616" s="180" t="s">
        <v>658</v>
      </c>
      <c r="E2616" s="39">
        <v>43608</v>
      </c>
      <c r="F2616" s="179">
        <v>0.70138888888888884</v>
      </c>
      <c r="G2616" s="180">
        <v>2</v>
      </c>
      <c r="H2616" s="180" t="s">
        <v>676</v>
      </c>
      <c r="I2616" s="180"/>
    </row>
    <row r="2617" spans="1:9" x14ac:dyDescent="0.45">
      <c r="A2617" s="180" t="s">
        <v>4</v>
      </c>
      <c r="B2617" s="73"/>
      <c r="C2617" s="73">
        <f>SUM(C2605:C2616)</f>
        <v>11</v>
      </c>
      <c r="D2617" s="180"/>
      <c r="E2617" s="39"/>
      <c r="F2617" s="179"/>
      <c r="G2617" s="180"/>
      <c r="H2617" s="180"/>
      <c r="I2617" s="180"/>
    </row>
    <row r="2618" spans="1:9" x14ac:dyDescent="0.45">
      <c r="A2618" s="1" t="s">
        <v>273</v>
      </c>
      <c r="B2618" s="73"/>
      <c r="C2618" s="73"/>
      <c r="D2618" s="180"/>
      <c r="E2618" s="39"/>
      <c r="F2618" s="179"/>
      <c r="G2618" s="180"/>
      <c r="H2618" s="180"/>
      <c r="I2618" s="180"/>
    </row>
    <row r="2619" spans="1:9" x14ac:dyDescent="0.45">
      <c r="A2619" s="1"/>
      <c r="B2619" s="73">
        <v>2</v>
      </c>
      <c r="C2619" s="73">
        <v>2</v>
      </c>
      <c r="D2619" s="180" t="s">
        <v>658</v>
      </c>
      <c r="E2619" s="39">
        <v>43595</v>
      </c>
      <c r="F2619" s="179">
        <v>0.34513888888888888</v>
      </c>
      <c r="G2619" s="180">
        <v>1</v>
      </c>
      <c r="H2619" s="180"/>
      <c r="I2619" s="180"/>
    </row>
    <row r="2620" spans="1:9" x14ac:dyDescent="0.45">
      <c r="A2620" s="180" t="s">
        <v>54</v>
      </c>
      <c r="B2620" s="73">
        <v>5</v>
      </c>
      <c r="C2620" s="73">
        <v>5</v>
      </c>
      <c r="D2620" s="180" t="s">
        <v>658</v>
      </c>
      <c r="E2620" s="39">
        <v>43598</v>
      </c>
      <c r="F2620" s="179">
        <v>0.51736111111111105</v>
      </c>
      <c r="G2620" s="180">
        <v>3</v>
      </c>
      <c r="H2620" s="180" t="s">
        <v>668</v>
      </c>
      <c r="I2620" s="180"/>
    </row>
    <row r="2621" spans="1:9" x14ac:dyDescent="0.45">
      <c r="A2621" s="180" t="s">
        <v>54</v>
      </c>
      <c r="B2621" s="73">
        <v>5</v>
      </c>
      <c r="C2621" s="73"/>
      <c r="D2621" s="180" t="s">
        <v>658</v>
      </c>
      <c r="E2621" s="39">
        <v>43598</v>
      </c>
      <c r="F2621" s="179">
        <v>0.51736111111111105</v>
      </c>
      <c r="G2621" s="180">
        <v>3</v>
      </c>
      <c r="H2621" s="180" t="s">
        <v>668</v>
      </c>
      <c r="I2621" s="180"/>
    </row>
    <row r="2622" spans="1:9" x14ac:dyDescent="0.45">
      <c r="A2622" s="180" t="s">
        <v>54</v>
      </c>
      <c r="B2622" s="73"/>
      <c r="C2622" s="73">
        <f>SUM(C2619:C2621)</f>
        <v>7</v>
      </c>
      <c r="D2622" s="180"/>
      <c r="E2622" s="39"/>
      <c r="F2622" s="179"/>
      <c r="G2622" s="180"/>
      <c r="H2622" s="180"/>
      <c r="I2622" s="180"/>
    </row>
    <row r="2623" spans="1:9" x14ac:dyDescent="0.45">
      <c r="A2623" s="1" t="s">
        <v>273</v>
      </c>
      <c r="B2623" s="73"/>
      <c r="C2623" s="73"/>
      <c r="D2623" s="180"/>
      <c r="E2623" s="39"/>
      <c r="F2623" s="179"/>
      <c r="G2623" s="180"/>
      <c r="H2623" s="180"/>
      <c r="I2623" s="180"/>
    </row>
    <row r="2624" spans="1:9" x14ac:dyDescent="0.45">
      <c r="A2624" s="1"/>
      <c r="B2624" s="73">
        <v>4</v>
      </c>
      <c r="C2624" s="73">
        <v>4</v>
      </c>
      <c r="D2624" s="180" t="s">
        <v>658</v>
      </c>
      <c r="E2624" s="39">
        <v>43599</v>
      </c>
      <c r="F2624" s="179">
        <v>0.40277777777777773</v>
      </c>
      <c r="G2624" s="180">
        <v>5</v>
      </c>
      <c r="H2624" s="180" t="s">
        <v>669</v>
      </c>
      <c r="I2624" s="180" t="s">
        <v>677</v>
      </c>
    </row>
    <row r="2625" spans="1:9" x14ac:dyDescent="0.45">
      <c r="A2625" s="180" t="s">
        <v>42</v>
      </c>
      <c r="B2625" s="73"/>
      <c r="C2625" s="73">
        <v>4</v>
      </c>
      <c r="D2625" s="180"/>
      <c r="E2625" s="39"/>
      <c r="F2625" s="179"/>
      <c r="G2625" s="180"/>
      <c r="H2625" s="180"/>
      <c r="I2625" s="180"/>
    </row>
    <row r="2626" spans="1:9" x14ac:dyDescent="0.45">
      <c r="A2626" s="1" t="s">
        <v>273</v>
      </c>
      <c r="B2626" s="73"/>
      <c r="C2626" s="73"/>
      <c r="D2626" s="180"/>
      <c r="E2626" s="39"/>
      <c r="F2626" s="179"/>
      <c r="G2626" s="180"/>
      <c r="H2626" s="180"/>
      <c r="I2626" s="180"/>
    </row>
    <row r="2627" spans="1:9" x14ac:dyDescent="0.45">
      <c r="A2627" s="1"/>
      <c r="B2627" s="73">
        <v>5</v>
      </c>
      <c r="C2627" s="73">
        <v>5</v>
      </c>
      <c r="D2627" s="180" t="s">
        <v>658</v>
      </c>
      <c r="E2627" s="39">
        <v>43588</v>
      </c>
      <c r="F2627" s="179">
        <v>0.53125</v>
      </c>
      <c r="G2627" s="180">
        <v>2</v>
      </c>
      <c r="H2627" s="180" t="s">
        <v>664</v>
      </c>
      <c r="I2627" s="180"/>
    </row>
    <row r="2628" spans="1:9" x14ac:dyDescent="0.45">
      <c r="A2628" s="180" t="s">
        <v>84</v>
      </c>
      <c r="B2628" s="73">
        <v>3</v>
      </c>
      <c r="C2628" s="73">
        <v>3</v>
      </c>
      <c r="D2628" s="180" t="s">
        <v>663</v>
      </c>
      <c r="E2628" s="39">
        <v>43593</v>
      </c>
      <c r="F2628" s="179">
        <v>0.58333333333333337</v>
      </c>
      <c r="G2628" s="180">
        <v>4</v>
      </c>
      <c r="H2628" s="180"/>
      <c r="I2628" s="180"/>
    </row>
    <row r="2629" spans="1:9" x14ac:dyDescent="0.45">
      <c r="A2629" s="180" t="s">
        <v>84</v>
      </c>
      <c r="B2629" s="73">
        <v>3</v>
      </c>
      <c r="C2629" s="73"/>
      <c r="D2629" s="180" t="s">
        <v>663</v>
      </c>
      <c r="E2629" s="39">
        <v>43593</v>
      </c>
      <c r="F2629" s="179">
        <v>0.58333333333333337</v>
      </c>
      <c r="G2629" s="180">
        <v>4</v>
      </c>
      <c r="H2629" s="180"/>
      <c r="I2629" s="180"/>
    </row>
    <row r="2630" spans="1:9" x14ac:dyDescent="0.45">
      <c r="A2630" s="180" t="s">
        <v>84</v>
      </c>
      <c r="B2630" s="73">
        <v>2</v>
      </c>
      <c r="C2630" s="73">
        <v>2</v>
      </c>
      <c r="D2630" s="180" t="s">
        <v>658</v>
      </c>
      <c r="E2630" s="39">
        <v>43593</v>
      </c>
      <c r="F2630" s="179">
        <v>0.35416666666666669</v>
      </c>
      <c r="G2630" s="180">
        <v>4</v>
      </c>
      <c r="H2630" s="180" t="s">
        <v>671</v>
      </c>
      <c r="I2630" s="180"/>
    </row>
    <row r="2631" spans="1:9" x14ac:dyDescent="0.45">
      <c r="A2631" s="180" t="s">
        <v>84</v>
      </c>
      <c r="B2631" s="73">
        <v>3</v>
      </c>
      <c r="C2631" s="73"/>
      <c r="D2631" s="180" t="s">
        <v>658</v>
      </c>
      <c r="E2631" s="39">
        <v>43593</v>
      </c>
      <c r="F2631" s="179">
        <v>0.67361111111111116</v>
      </c>
      <c r="G2631" s="180">
        <v>5</v>
      </c>
      <c r="H2631" s="180" t="s">
        <v>665</v>
      </c>
      <c r="I2631" s="180"/>
    </row>
    <row r="2632" spans="1:9" x14ac:dyDescent="0.45">
      <c r="A2632" s="180" t="s">
        <v>84</v>
      </c>
      <c r="B2632" s="73">
        <v>1</v>
      </c>
      <c r="C2632" s="73">
        <v>1</v>
      </c>
      <c r="D2632" s="180" t="s">
        <v>658</v>
      </c>
      <c r="E2632" s="39">
        <v>43595</v>
      </c>
      <c r="F2632" s="179">
        <v>0.34513888888888888</v>
      </c>
      <c r="G2632" s="180">
        <v>1</v>
      </c>
      <c r="H2632" s="180"/>
      <c r="I2632" s="180"/>
    </row>
    <row r="2633" spans="1:9" x14ac:dyDescent="0.45">
      <c r="A2633" s="180" t="s">
        <v>84</v>
      </c>
      <c r="B2633" s="73">
        <v>1</v>
      </c>
      <c r="C2633" s="73">
        <v>1</v>
      </c>
      <c r="D2633" s="180" t="s">
        <v>658</v>
      </c>
      <c r="E2633" s="39">
        <v>43598</v>
      </c>
      <c r="F2633" s="179">
        <v>0.51736111111111105</v>
      </c>
      <c r="G2633" s="180">
        <v>3</v>
      </c>
      <c r="H2633" s="180" t="s">
        <v>668</v>
      </c>
      <c r="I2633" s="180"/>
    </row>
    <row r="2634" spans="1:9" x14ac:dyDescent="0.45">
      <c r="A2634" s="180" t="s">
        <v>84</v>
      </c>
      <c r="B2634" s="73">
        <v>1</v>
      </c>
      <c r="C2634" s="73">
        <v>1</v>
      </c>
      <c r="D2634" s="180" t="s">
        <v>658</v>
      </c>
      <c r="E2634" s="39">
        <v>43598</v>
      </c>
      <c r="F2634" s="179">
        <v>0.51736111111111105</v>
      </c>
      <c r="G2634" s="180">
        <v>3</v>
      </c>
      <c r="H2634" s="180" t="s">
        <v>668</v>
      </c>
      <c r="I2634" s="180"/>
    </row>
    <row r="2635" spans="1:9" x14ac:dyDescent="0.45">
      <c r="A2635" s="180" t="s">
        <v>84</v>
      </c>
      <c r="B2635" s="73"/>
      <c r="C2635" s="73">
        <f>SUM(C2627:C2634)</f>
        <v>13</v>
      </c>
      <c r="D2635" s="180"/>
      <c r="E2635" s="39"/>
      <c r="F2635" s="179"/>
      <c r="G2635" s="180"/>
      <c r="H2635" s="180"/>
      <c r="I2635" s="180"/>
    </row>
    <row r="2636" spans="1:9" x14ac:dyDescent="0.45">
      <c r="A2636" s="1" t="s">
        <v>273</v>
      </c>
      <c r="B2636" s="73"/>
      <c r="C2636" s="73"/>
      <c r="D2636" s="180"/>
      <c r="E2636" s="39"/>
      <c r="F2636" s="179"/>
      <c r="G2636" s="180"/>
      <c r="H2636" s="180"/>
      <c r="I2636" s="180"/>
    </row>
    <row r="2637" spans="1:9" x14ac:dyDescent="0.45">
      <c r="A2637" s="1"/>
      <c r="B2637" s="73">
        <v>1</v>
      </c>
      <c r="C2637" s="73"/>
      <c r="D2637" s="180" t="s">
        <v>658</v>
      </c>
      <c r="E2637" s="39">
        <v>43595</v>
      </c>
      <c r="F2637" s="179">
        <v>0.53125</v>
      </c>
      <c r="G2637" s="180">
        <v>2</v>
      </c>
      <c r="H2637" s="180" t="s">
        <v>666</v>
      </c>
      <c r="I2637" s="180"/>
    </row>
    <row r="2638" spans="1:9" x14ac:dyDescent="0.45">
      <c r="A2638" s="180" t="s">
        <v>13</v>
      </c>
      <c r="B2638" s="73">
        <v>4</v>
      </c>
      <c r="C2638" s="73">
        <v>4</v>
      </c>
      <c r="D2638" s="180" t="s">
        <v>658</v>
      </c>
      <c r="E2638" s="39">
        <v>43595</v>
      </c>
      <c r="F2638" s="179">
        <v>0.75694444444444453</v>
      </c>
      <c r="G2638" s="180">
        <v>6</v>
      </c>
      <c r="H2638" s="180" t="s">
        <v>667</v>
      </c>
      <c r="I2638" s="180"/>
    </row>
    <row r="2639" spans="1:9" x14ac:dyDescent="0.45">
      <c r="A2639" s="180" t="s">
        <v>13</v>
      </c>
      <c r="B2639" s="73">
        <v>2</v>
      </c>
      <c r="C2639" s="73"/>
      <c r="D2639" s="180" t="s">
        <v>658</v>
      </c>
      <c r="E2639" s="39">
        <v>43595</v>
      </c>
      <c r="F2639" s="179">
        <v>0.34513888888888888</v>
      </c>
      <c r="G2639" s="180">
        <v>1</v>
      </c>
      <c r="H2639" s="180"/>
      <c r="I2639" s="180"/>
    </row>
    <row r="2640" spans="1:9" x14ac:dyDescent="0.45">
      <c r="A2640" s="180" t="s">
        <v>13</v>
      </c>
      <c r="B2640" s="73">
        <v>1</v>
      </c>
      <c r="C2640" s="73"/>
      <c r="D2640" s="180" t="s">
        <v>658</v>
      </c>
      <c r="E2640" s="39">
        <v>43595</v>
      </c>
      <c r="F2640" s="179">
        <v>0.53125</v>
      </c>
      <c r="G2640" s="180">
        <v>2</v>
      </c>
      <c r="H2640" s="180" t="s">
        <v>666</v>
      </c>
      <c r="I2640" s="180"/>
    </row>
    <row r="2641" spans="1:9" x14ac:dyDescent="0.45">
      <c r="A2641" s="180" t="s">
        <v>13</v>
      </c>
      <c r="B2641" s="73">
        <v>5</v>
      </c>
      <c r="C2641" s="73">
        <v>5</v>
      </c>
      <c r="D2641" s="180" t="s">
        <v>658</v>
      </c>
      <c r="E2641" s="39">
        <v>43599</v>
      </c>
      <c r="F2641" s="179">
        <v>0.40277777777777773</v>
      </c>
      <c r="G2641" s="180">
        <v>5</v>
      </c>
      <c r="H2641" s="180" t="s">
        <v>669</v>
      </c>
      <c r="I2641" s="180"/>
    </row>
    <row r="2642" spans="1:9" x14ac:dyDescent="0.45">
      <c r="A2642" s="180" t="s">
        <v>13</v>
      </c>
      <c r="B2642" s="73">
        <v>30</v>
      </c>
      <c r="C2642" s="73">
        <v>30</v>
      </c>
      <c r="D2642" s="180" t="s">
        <v>670</v>
      </c>
      <c r="E2642" s="39">
        <v>43600</v>
      </c>
      <c r="F2642" s="179">
        <v>0.6333333333333333</v>
      </c>
      <c r="G2642" s="180">
        <v>2</v>
      </c>
      <c r="H2642" s="180"/>
      <c r="I2642" s="180"/>
    </row>
    <row r="2643" spans="1:9" x14ac:dyDescent="0.45">
      <c r="A2643" s="180" t="s">
        <v>13</v>
      </c>
      <c r="B2643" s="73">
        <v>30</v>
      </c>
      <c r="C2643" s="73"/>
      <c r="D2643" s="180" t="s">
        <v>670</v>
      </c>
      <c r="E2643" s="39">
        <v>43600</v>
      </c>
      <c r="F2643" s="179">
        <v>0.6333333333333333</v>
      </c>
      <c r="G2643" s="180">
        <v>2</v>
      </c>
      <c r="H2643" s="180"/>
      <c r="I2643" s="180"/>
    </row>
    <row r="2644" spans="1:9" x14ac:dyDescent="0.45">
      <c r="A2644" s="180" t="s">
        <v>13</v>
      </c>
      <c r="B2644" s="73">
        <v>25</v>
      </c>
      <c r="C2644" s="73"/>
      <c r="D2644" s="180" t="s">
        <v>658</v>
      </c>
      <c r="E2644" s="39">
        <v>43600</v>
      </c>
      <c r="F2644" s="179">
        <v>0.46527777777777773</v>
      </c>
      <c r="G2644" s="180">
        <v>2</v>
      </c>
      <c r="H2644" s="180"/>
      <c r="I2644" s="180"/>
    </row>
    <row r="2645" spans="1:9" x14ac:dyDescent="0.45">
      <c r="A2645" s="180" t="s">
        <v>13</v>
      </c>
      <c r="B2645" s="73">
        <v>20</v>
      </c>
      <c r="C2645" s="73">
        <v>20</v>
      </c>
      <c r="D2645" s="180" t="s">
        <v>658</v>
      </c>
      <c r="E2645" s="39">
        <v>43603</v>
      </c>
      <c r="F2645" s="179">
        <v>0.53125</v>
      </c>
      <c r="G2645" s="180">
        <v>14</v>
      </c>
      <c r="H2645" s="180" t="s">
        <v>673</v>
      </c>
      <c r="I2645" s="180"/>
    </row>
    <row r="2646" spans="1:9" x14ac:dyDescent="0.45">
      <c r="A2646" s="180" t="s">
        <v>13</v>
      </c>
      <c r="B2646" s="73">
        <v>12</v>
      </c>
      <c r="C2646" s="73"/>
      <c r="D2646" s="180" t="s">
        <v>658</v>
      </c>
      <c r="E2646" s="39">
        <v>43603</v>
      </c>
      <c r="F2646" s="179">
        <v>0.54652777777777783</v>
      </c>
      <c r="G2646" s="180">
        <v>3</v>
      </c>
      <c r="H2646" s="180"/>
      <c r="I2646" s="180"/>
    </row>
    <row r="2647" spans="1:9" x14ac:dyDescent="0.45">
      <c r="A2647" s="180" t="s">
        <v>13</v>
      </c>
      <c r="B2647" s="73">
        <v>1</v>
      </c>
      <c r="C2647" s="73">
        <v>1</v>
      </c>
      <c r="D2647" s="180" t="s">
        <v>658</v>
      </c>
      <c r="E2647" s="39">
        <v>43608</v>
      </c>
      <c r="F2647" s="179">
        <v>0.70138888888888884</v>
      </c>
      <c r="G2647" s="180">
        <v>2</v>
      </c>
      <c r="H2647" s="180" t="s">
        <v>676</v>
      </c>
      <c r="I2647" s="180"/>
    </row>
    <row r="2648" spans="1:9" x14ac:dyDescent="0.45">
      <c r="A2648" s="180" t="s">
        <v>13</v>
      </c>
      <c r="B2648" s="73"/>
      <c r="C2648" s="73">
        <f>SUM(C2637:C2647)</f>
        <v>60</v>
      </c>
      <c r="D2648" s="180"/>
      <c r="E2648" s="39"/>
      <c r="F2648" s="179"/>
      <c r="G2648" s="180"/>
      <c r="H2648" s="180"/>
      <c r="I2648" s="180"/>
    </row>
    <row r="2649" spans="1:9" x14ac:dyDescent="0.45">
      <c r="A2649" s="1" t="s">
        <v>273</v>
      </c>
      <c r="B2649" s="73"/>
      <c r="C2649" s="73"/>
      <c r="D2649" s="180"/>
      <c r="E2649" s="39"/>
      <c r="F2649" s="179"/>
      <c r="G2649" s="180"/>
      <c r="H2649" s="180"/>
      <c r="I2649" s="180"/>
    </row>
    <row r="2650" spans="1:9" x14ac:dyDescent="0.45">
      <c r="A2650" s="1"/>
      <c r="B2650" s="73">
        <v>1</v>
      </c>
      <c r="C2650" s="73">
        <v>1</v>
      </c>
      <c r="D2650" s="180" t="s">
        <v>658</v>
      </c>
      <c r="E2650" s="39">
        <v>43588</v>
      </c>
      <c r="F2650" s="179">
        <v>0.53125</v>
      </c>
      <c r="G2650" s="180">
        <v>2</v>
      </c>
      <c r="H2650" s="180" t="s">
        <v>664</v>
      </c>
      <c r="I2650" s="180"/>
    </row>
    <row r="2651" spans="1:9" x14ac:dyDescent="0.45">
      <c r="A2651" s="180" t="s">
        <v>494</v>
      </c>
      <c r="B2651" s="73">
        <v>300</v>
      </c>
      <c r="C2651" s="73">
        <v>300</v>
      </c>
      <c r="D2651" s="180" t="s">
        <v>663</v>
      </c>
      <c r="E2651" s="39">
        <v>43593</v>
      </c>
      <c r="F2651" s="179">
        <v>0.58333333333333337</v>
      </c>
      <c r="G2651" s="180">
        <v>4</v>
      </c>
      <c r="H2651" s="180"/>
      <c r="I2651" s="180"/>
    </row>
    <row r="2652" spans="1:9" x14ac:dyDescent="0.45">
      <c r="A2652" s="180" t="s">
        <v>494</v>
      </c>
      <c r="B2652" s="73">
        <v>300</v>
      </c>
      <c r="C2652" s="73"/>
      <c r="D2652" s="180" t="s">
        <v>663</v>
      </c>
      <c r="E2652" s="39">
        <v>43593</v>
      </c>
      <c r="F2652" s="179">
        <v>0.58333333333333337</v>
      </c>
      <c r="G2652" s="180">
        <v>4</v>
      </c>
      <c r="H2652" s="180"/>
      <c r="I2652" s="180"/>
    </row>
    <row r="2653" spans="1:9" x14ac:dyDescent="0.45">
      <c r="A2653" s="180" t="s">
        <v>494</v>
      </c>
      <c r="B2653" s="73">
        <v>45</v>
      </c>
      <c r="C2653" s="73">
        <v>45</v>
      </c>
      <c r="D2653" s="180" t="s">
        <v>658</v>
      </c>
      <c r="E2653" s="39">
        <v>0</v>
      </c>
      <c r="F2653" s="179">
        <v>0.35416666666666669</v>
      </c>
      <c r="G2653" s="180">
        <v>4</v>
      </c>
      <c r="H2653" s="180" t="s">
        <v>671</v>
      </c>
      <c r="I2653" s="180"/>
    </row>
    <row r="2654" spans="1:9" x14ac:dyDescent="0.45">
      <c r="A2654" s="180" t="s">
        <v>494</v>
      </c>
      <c r="B2654" s="73"/>
      <c r="C2654" s="73">
        <f>SUM(C2650:C2653)</f>
        <v>346</v>
      </c>
      <c r="D2654" s="180"/>
      <c r="E2654" s="39"/>
      <c r="F2654" s="179"/>
      <c r="G2654" s="180"/>
      <c r="H2654" s="180"/>
      <c r="I2654" s="180"/>
    </row>
    <row r="2655" spans="1:9" x14ac:dyDescent="0.45">
      <c r="A2655" s="1" t="s">
        <v>273</v>
      </c>
      <c r="B2655" s="73"/>
      <c r="C2655" s="73"/>
      <c r="D2655" s="180"/>
      <c r="E2655" s="39"/>
      <c r="F2655" s="179"/>
      <c r="G2655" s="180"/>
      <c r="H2655" s="180"/>
      <c r="I2655" s="180"/>
    </row>
    <row r="2656" spans="1:9" x14ac:dyDescent="0.45">
      <c r="A2656" s="1"/>
      <c r="B2656" s="73">
        <v>1</v>
      </c>
      <c r="C2656" s="73">
        <v>1</v>
      </c>
      <c r="D2656" s="180" t="s">
        <v>658</v>
      </c>
      <c r="E2656" s="39">
        <v>43599</v>
      </c>
      <c r="F2656" s="179">
        <v>0.40277777777777773</v>
      </c>
      <c r="G2656" s="180">
        <v>5</v>
      </c>
      <c r="H2656" s="180" t="s">
        <v>669</v>
      </c>
      <c r="I2656" s="180"/>
    </row>
    <row r="2657" spans="1:9" x14ac:dyDescent="0.45">
      <c r="A2657" s="180" t="s">
        <v>46</v>
      </c>
      <c r="B2657" s="73"/>
      <c r="C2657" s="73">
        <v>1</v>
      </c>
      <c r="D2657" s="180"/>
      <c r="E2657" s="39"/>
      <c r="F2657" s="179"/>
      <c r="G2657" s="180"/>
      <c r="H2657" s="180"/>
      <c r="I2657" s="180"/>
    </row>
    <row r="2658" spans="1:9" x14ac:dyDescent="0.45">
      <c r="A2658" s="1" t="s">
        <v>273</v>
      </c>
      <c r="B2658" s="73"/>
      <c r="C2658" s="73"/>
      <c r="D2658" s="180"/>
      <c r="E2658" s="39"/>
      <c r="F2658" s="179"/>
      <c r="G2658" s="180"/>
      <c r="H2658" s="180"/>
      <c r="I2658" s="180"/>
    </row>
    <row r="2659" spans="1:9" x14ac:dyDescent="0.45">
      <c r="A2659" s="1"/>
      <c r="B2659" s="73">
        <v>3</v>
      </c>
      <c r="C2659" s="73">
        <v>3</v>
      </c>
      <c r="D2659" s="180" t="s">
        <v>658</v>
      </c>
      <c r="E2659" s="39">
        <v>43593</v>
      </c>
      <c r="F2659" s="179">
        <v>0.67361111111111116</v>
      </c>
      <c r="G2659" s="180">
        <v>5</v>
      </c>
      <c r="H2659" s="180" t="s">
        <v>665</v>
      </c>
      <c r="I2659" s="180"/>
    </row>
    <row r="2660" spans="1:9" x14ac:dyDescent="0.45">
      <c r="A2660" s="180" t="s">
        <v>1</v>
      </c>
      <c r="B2660" s="73">
        <v>6</v>
      </c>
      <c r="C2660" s="73">
        <v>6</v>
      </c>
      <c r="D2660" s="180" t="s">
        <v>658</v>
      </c>
      <c r="E2660" s="39">
        <v>43595</v>
      </c>
      <c r="F2660" s="179">
        <v>0.75694444444444453</v>
      </c>
      <c r="G2660" s="180">
        <v>6</v>
      </c>
      <c r="H2660" s="180" t="s">
        <v>667</v>
      </c>
      <c r="I2660" s="180"/>
    </row>
    <row r="2661" spans="1:9" x14ac:dyDescent="0.45">
      <c r="A2661" s="180" t="s">
        <v>1</v>
      </c>
      <c r="B2661" s="73">
        <v>3</v>
      </c>
      <c r="C2661" s="73"/>
      <c r="D2661" s="180" t="s">
        <v>658</v>
      </c>
      <c r="E2661" s="39">
        <v>43595</v>
      </c>
      <c r="F2661" s="179">
        <v>0.63263888888888886</v>
      </c>
      <c r="G2661" s="180">
        <v>1</v>
      </c>
      <c r="H2661" s="180" t="s">
        <v>672</v>
      </c>
      <c r="I2661" s="180"/>
    </row>
    <row r="2662" spans="1:9" x14ac:dyDescent="0.45">
      <c r="A2662" s="180" t="s">
        <v>1</v>
      </c>
      <c r="B2662" s="73">
        <v>4</v>
      </c>
      <c r="C2662" s="73">
        <v>4</v>
      </c>
      <c r="D2662" s="180" t="s">
        <v>658</v>
      </c>
      <c r="E2662" s="39">
        <v>43599</v>
      </c>
      <c r="F2662" s="179">
        <v>0.40277777777777773</v>
      </c>
      <c r="G2662" s="180">
        <v>5</v>
      </c>
      <c r="H2662" s="180" t="s">
        <v>669</v>
      </c>
      <c r="I2662" s="180"/>
    </row>
    <row r="2663" spans="1:9" x14ac:dyDescent="0.45">
      <c r="A2663" s="180" t="s">
        <v>1</v>
      </c>
      <c r="B2663" s="73">
        <v>2</v>
      </c>
      <c r="C2663" s="73">
        <v>2</v>
      </c>
      <c r="D2663" s="180" t="s">
        <v>658</v>
      </c>
      <c r="E2663" s="39">
        <v>43600</v>
      </c>
      <c r="F2663" s="179">
        <v>0.46527777777777773</v>
      </c>
      <c r="G2663" s="180">
        <v>2</v>
      </c>
      <c r="H2663" s="180"/>
      <c r="I2663" s="180"/>
    </row>
    <row r="2664" spans="1:9" x14ac:dyDescent="0.45">
      <c r="A2664" s="180" t="s">
        <v>1</v>
      </c>
      <c r="B2664" s="73"/>
      <c r="C2664" s="73">
        <f>SUM(C2659:C2663)</f>
        <v>15</v>
      </c>
      <c r="D2664" s="180"/>
      <c r="E2664" s="39"/>
      <c r="F2664" s="179"/>
      <c r="G2664" s="180"/>
      <c r="H2664" s="180"/>
      <c r="I2664" s="180"/>
    </row>
    <row r="2665" spans="1:9" x14ac:dyDescent="0.45">
      <c r="A2665" s="1" t="s">
        <v>273</v>
      </c>
      <c r="B2665" s="73"/>
      <c r="C2665" s="73"/>
      <c r="D2665" s="180"/>
      <c r="E2665" s="39"/>
      <c r="F2665" s="179"/>
      <c r="G2665" s="180"/>
      <c r="H2665" s="180"/>
      <c r="I2665" s="180"/>
    </row>
    <row r="2666" spans="1:9" x14ac:dyDescent="0.45">
      <c r="A2666" s="1"/>
      <c r="B2666" s="73">
        <v>2</v>
      </c>
      <c r="C2666" s="73">
        <v>2</v>
      </c>
      <c r="D2666" s="180" t="s">
        <v>658</v>
      </c>
      <c r="E2666" s="39">
        <v>43597</v>
      </c>
      <c r="F2666" s="179">
        <v>0.33333333333333331</v>
      </c>
      <c r="G2666" s="180">
        <v>2</v>
      </c>
      <c r="H2666" s="180"/>
      <c r="I2666" s="180"/>
    </row>
    <row r="2667" spans="1:9" x14ac:dyDescent="0.45">
      <c r="A2667" s="180" t="s">
        <v>32</v>
      </c>
      <c r="B2667" s="73">
        <v>10</v>
      </c>
      <c r="C2667" s="73"/>
      <c r="D2667" s="180" t="s">
        <v>658</v>
      </c>
      <c r="E2667" s="39">
        <v>43599</v>
      </c>
      <c r="F2667" s="179">
        <v>0.39583333333333331</v>
      </c>
      <c r="G2667" s="180">
        <v>1</v>
      </c>
      <c r="H2667" s="180"/>
      <c r="I2667" s="180"/>
    </row>
    <row r="2668" spans="1:9" x14ac:dyDescent="0.45">
      <c r="A2668" s="180" t="s">
        <v>32</v>
      </c>
      <c r="B2668" s="73">
        <v>20</v>
      </c>
      <c r="C2668" s="73">
        <v>20</v>
      </c>
      <c r="D2668" s="180" t="s">
        <v>658</v>
      </c>
      <c r="E2668" s="39">
        <v>43599</v>
      </c>
      <c r="F2668" s="179">
        <v>0.40277777777777773</v>
      </c>
      <c r="G2668" s="180">
        <v>5</v>
      </c>
      <c r="H2668" s="180" t="s">
        <v>669</v>
      </c>
      <c r="I2668" s="180"/>
    </row>
    <row r="2669" spans="1:9" x14ac:dyDescent="0.45">
      <c r="A2669" s="180" t="s">
        <v>32</v>
      </c>
      <c r="B2669" s="73">
        <v>12</v>
      </c>
      <c r="C2669" s="73">
        <v>12</v>
      </c>
      <c r="D2669" s="180" t="s">
        <v>658</v>
      </c>
      <c r="E2669" s="39">
        <v>43600</v>
      </c>
      <c r="F2669" s="179">
        <v>0.46527777777777773</v>
      </c>
      <c r="G2669" s="180">
        <v>2</v>
      </c>
      <c r="H2669" s="180"/>
      <c r="I2669" s="180"/>
    </row>
    <row r="2670" spans="1:9" x14ac:dyDescent="0.45">
      <c r="A2670" s="180" t="s">
        <v>32</v>
      </c>
      <c r="B2670" s="73">
        <v>1</v>
      </c>
      <c r="C2670" s="73">
        <v>1</v>
      </c>
      <c r="D2670" s="180" t="s">
        <v>658</v>
      </c>
      <c r="E2670" s="39">
        <v>43608</v>
      </c>
      <c r="F2670" s="179">
        <v>0.70138888888888884</v>
      </c>
      <c r="G2670" s="180">
        <v>2</v>
      </c>
      <c r="H2670" s="180" t="s">
        <v>676</v>
      </c>
      <c r="I2670" s="180"/>
    </row>
    <row r="2671" spans="1:9" x14ac:dyDescent="0.45">
      <c r="A2671" s="180" t="s">
        <v>32</v>
      </c>
      <c r="B2671" s="73"/>
      <c r="C2671" s="73">
        <f>SUM(C2666:C2670)</f>
        <v>35</v>
      </c>
      <c r="D2671" s="180"/>
      <c r="E2671" s="39"/>
      <c r="F2671" s="179"/>
      <c r="G2671" s="180"/>
      <c r="H2671" s="180"/>
      <c r="I2671" s="180"/>
    </row>
    <row r="2672" spans="1:9" x14ac:dyDescent="0.45">
      <c r="A2672" s="1" t="s">
        <v>273</v>
      </c>
      <c r="B2672" s="73"/>
      <c r="C2672" s="73"/>
      <c r="D2672" s="180"/>
      <c r="E2672" s="39"/>
      <c r="F2672" s="179"/>
      <c r="G2672" s="180"/>
      <c r="H2672" s="180"/>
      <c r="I2672" s="180"/>
    </row>
    <row r="2673" spans="1:9" x14ac:dyDescent="0.45">
      <c r="A2673" s="1"/>
      <c r="B2673" s="73">
        <v>7</v>
      </c>
      <c r="C2673" s="73">
        <v>7</v>
      </c>
      <c r="D2673" s="180" t="s">
        <v>658</v>
      </c>
      <c r="E2673" s="39">
        <v>43588</v>
      </c>
      <c r="F2673" s="179">
        <v>0.53125</v>
      </c>
      <c r="G2673" s="180">
        <v>2</v>
      </c>
      <c r="H2673" s="180" t="s">
        <v>664</v>
      </c>
      <c r="I2673" s="180"/>
    </row>
    <row r="2674" spans="1:9" x14ac:dyDescent="0.45">
      <c r="A2674" s="180" t="s">
        <v>15</v>
      </c>
      <c r="B2674" s="73">
        <v>60</v>
      </c>
      <c r="C2674" s="73">
        <v>60</v>
      </c>
      <c r="D2674" s="180" t="s">
        <v>658</v>
      </c>
      <c r="E2674" s="39">
        <v>43593</v>
      </c>
      <c r="F2674" s="179">
        <v>0.67361111111111116</v>
      </c>
      <c r="G2674" s="180">
        <v>5</v>
      </c>
      <c r="H2674" s="180" t="s">
        <v>665</v>
      </c>
      <c r="I2674" s="180"/>
    </row>
    <row r="2675" spans="1:9" x14ac:dyDescent="0.45">
      <c r="A2675" s="180" t="s">
        <v>15</v>
      </c>
      <c r="B2675" s="73">
        <v>10</v>
      </c>
      <c r="C2675" s="73"/>
      <c r="D2675" s="180" t="s">
        <v>658</v>
      </c>
      <c r="E2675" s="39">
        <v>43593</v>
      </c>
      <c r="F2675" s="179">
        <v>0.35416666666666669</v>
      </c>
      <c r="G2675" s="180">
        <v>4</v>
      </c>
      <c r="H2675" s="180" t="s">
        <v>671</v>
      </c>
      <c r="I2675" s="180"/>
    </row>
    <row r="2676" spans="1:9" x14ac:dyDescent="0.45">
      <c r="A2676" s="180" t="s">
        <v>15</v>
      </c>
      <c r="B2676" s="73">
        <v>4</v>
      </c>
      <c r="C2676" s="73"/>
      <c r="D2676" s="180" t="s">
        <v>658</v>
      </c>
      <c r="E2676" s="39">
        <v>43595</v>
      </c>
      <c r="F2676" s="179">
        <v>0.53125</v>
      </c>
      <c r="G2676" s="180">
        <v>2</v>
      </c>
      <c r="H2676" s="180" t="s">
        <v>666</v>
      </c>
      <c r="I2676" s="180"/>
    </row>
    <row r="2677" spans="1:9" x14ac:dyDescent="0.45">
      <c r="A2677" s="180" t="s">
        <v>15</v>
      </c>
      <c r="B2677" s="73">
        <v>95</v>
      </c>
      <c r="C2677" s="73">
        <v>95</v>
      </c>
      <c r="D2677" s="180" t="s">
        <v>658</v>
      </c>
      <c r="E2677" s="39">
        <v>43595</v>
      </c>
      <c r="F2677" s="179">
        <v>0.75694444444444453</v>
      </c>
      <c r="G2677" s="180">
        <v>6</v>
      </c>
      <c r="H2677" s="180" t="s">
        <v>667</v>
      </c>
      <c r="I2677" s="180"/>
    </row>
    <row r="2678" spans="1:9" x14ac:dyDescent="0.45">
      <c r="A2678" s="180" t="s">
        <v>15</v>
      </c>
      <c r="B2678" s="73">
        <v>4</v>
      </c>
      <c r="C2678" s="73"/>
      <c r="D2678" s="180" t="s">
        <v>658</v>
      </c>
      <c r="E2678" s="39">
        <v>43595</v>
      </c>
      <c r="F2678" s="179">
        <v>0.53125</v>
      </c>
      <c r="G2678" s="180">
        <v>2</v>
      </c>
      <c r="H2678" s="180" t="s">
        <v>666</v>
      </c>
      <c r="I2678" s="180"/>
    </row>
    <row r="2679" spans="1:9" x14ac:dyDescent="0.45">
      <c r="A2679" s="180" t="s">
        <v>15</v>
      </c>
      <c r="B2679" s="73">
        <v>20</v>
      </c>
      <c r="C2679" s="73"/>
      <c r="D2679" s="180" t="s">
        <v>658</v>
      </c>
      <c r="E2679" s="39">
        <v>43595</v>
      </c>
      <c r="F2679" s="179">
        <v>0.34513888888888888</v>
      </c>
      <c r="G2679" s="180">
        <v>1</v>
      </c>
      <c r="H2679" s="180"/>
      <c r="I2679" s="180"/>
    </row>
    <row r="2680" spans="1:9" x14ac:dyDescent="0.45">
      <c r="A2680" s="180" t="s">
        <v>15</v>
      </c>
      <c r="B2680" s="73">
        <v>12</v>
      </c>
      <c r="C2680" s="73">
        <v>12</v>
      </c>
      <c r="D2680" s="180" t="s">
        <v>658</v>
      </c>
      <c r="E2680" s="39">
        <v>43598</v>
      </c>
      <c r="F2680" s="179">
        <v>0.51736111111111105</v>
      </c>
      <c r="G2680" s="180">
        <v>3</v>
      </c>
      <c r="H2680" s="180" t="s">
        <v>668</v>
      </c>
      <c r="I2680" s="180"/>
    </row>
    <row r="2681" spans="1:9" x14ac:dyDescent="0.45">
      <c r="A2681" s="180" t="s">
        <v>15</v>
      </c>
      <c r="B2681" s="73">
        <v>12</v>
      </c>
      <c r="C2681" s="73"/>
      <c r="D2681" s="180" t="s">
        <v>658</v>
      </c>
      <c r="E2681" s="39">
        <v>43598</v>
      </c>
      <c r="F2681" s="179">
        <v>0.51736111111111105</v>
      </c>
      <c r="G2681" s="180">
        <v>3</v>
      </c>
      <c r="H2681" s="180" t="s">
        <v>668</v>
      </c>
      <c r="I2681" s="180"/>
    </row>
    <row r="2682" spans="1:9" x14ac:dyDescent="0.45">
      <c r="A2682" s="180" t="s">
        <v>15</v>
      </c>
      <c r="B2682" s="73">
        <v>54</v>
      </c>
      <c r="C2682" s="73">
        <v>54</v>
      </c>
      <c r="D2682" s="180" t="s">
        <v>658</v>
      </c>
      <c r="E2682" s="39">
        <v>43599</v>
      </c>
      <c r="F2682" s="179">
        <v>0.40277777777777773</v>
      </c>
      <c r="G2682" s="180">
        <v>5</v>
      </c>
      <c r="H2682" s="180" t="s">
        <v>669</v>
      </c>
      <c r="I2682" s="180"/>
    </row>
    <row r="2683" spans="1:9" x14ac:dyDescent="0.45">
      <c r="A2683" s="180" t="s">
        <v>15</v>
      </c>
      <c r="B2683" s="73">
        <v>2</v>
      </c>
      <c r="C2683" s="73"/>
      <c r="D2683" s="180" t="s">
        <v>658</v>
      </c>
      <c r="E2683" s="39">
        <v>43599</v>
      </c>
      <c r="F2683" s="179">
        <v>0.39583333333333331</v>
      </c>
      <c r="G2683" s="180">
        <v>1</v>
      </c>
      <c r="H2683" s="180"/>
      <c r="I2683" s="180"/>
    </row>
    <row r="2684" spans="1:9" x14ac:dyDescent="0.45">
      <c r="A2684" s="180" t="s">
        <v>15</v>
      </c>
      <c r="B2684" s="73">
        <v>10</v>
      </c>
      <c r="C2684" s="73"/>
      <c r="D2684" s="180" t="s">
        <v>670</v>
      </c>
      <c r="E2684" s="39">
        <v>43600</v>
      </c>
      <c r="F2684" s="179">
        <v>0.6333333333333333</v>
      </c>
      <c r="G2684" s="180">
        <v>2</v>
      </c>
      <c r="H2684" s="180"/>
      <c r="I2684" s="180"/>
    </row>
    <row r="2685" spans="1:9" x14ac:dyDescent="0.45">
      <c r="A2685" s="180" t="s">
        <v>15</v>
      </c>
      <c r="B2685" s="73">
        <v>10</v>
      </c>
      <c r="C2685" s="73"/>
      <c r="D2685" s="180" t="s">
        <v>670</v>
      </c>
      <c r="E2685" s="39">
        <v>43600</v>
      </c>
      <c r="F2685" s="179">
        <v>0.6333333333333333</v>
      </c>
      <c r="G2685" s="180">
        <v>2</v>
      </c>
      <c r="H2685" s="180"/>
      <c r="I2685" s="180"/>
    </row>
    <row r="2686" spans="1:9" x14ac:dyDescent="0.45">
      <c r="A2686" s="180" t="s">
        <v>15</v>
      </c>
      <c r="B2686" s="73">
        <v>52</v>
      </c>
      <c r="C2686" s="73">
        <v>52</v>
      </c>
      <c r="D2686" s="180" t="s">
        <v>658</v>
      </c>
      <c r="E2686" s="39">
        <v>43600</v>
      </c>
      <c r="F2686" s="179">
        <v>0.46527777777777773</v>
      </c>
      <c r="G2686" s="180">
        <v>2</v>
      </c>
      <c r="H2686" s="180"/>
      <c r="I2686" s="180"/>
    </row>
    <row r="2687" spans="1:9" x14ac:dyDescent="0.45">
      <c r="A2687" s="180" t="s">
        <v>15</v>
      </c>
      <c r="B2687" s="73">
        <v>1</v>
      </c>
      <c r="C2687" s="73">
        <v>1</v>
      </c>
      <c r="D2687" s="180" t="s">
        <v>658</v>
      </c>
      <c r="E2687" s="39">
        <v>43608</v>
      </c>
      <c r="F2687" s="179">
        <v>0.70138888888888884</v>
      </c>
      <c r="G2687" s="180">
        <v>2</v>
      </c>
      <c r="H2687" s="180" t="s">
        <v>676</v>
      </c>
      <c r="I2687" s="180"/>
    </row>
    <row r="2688" spans="1:9" x14ac:dyDescent="0.45">
      <c r="A2688" s="180" t="s">
        <v>15</v>
      </c>
      <c r="B2688" s="73"/>
      <c r="C2688" s="73">
        <f>SUM(C2673:C2687)</f>
        <v>281</v>
      </c>
      <c r="D2688" s="180"/>
      <c r="E2688" s="39"/>
      <c r="F2688" s="179"/>
      <c r="G2688" s="180"/>
      <c r="H2688" s="180"/>
      <c r="I2688" s="180"/>
    </row>
    <row r="2689" spans="1:9" x14ac:dyDescent="0.45">
      <c r="A2689" s="1" t="s">
        <v>273</v>
      </c>
      <c r="B2689" s="73"/>
      <c r="C2689" s="73"/>
      <c r="D2689" s="180"/>
      <c r="E2689" s="39"/>
      <c r="F2689" s="179"/>
      <c r="G2689" s="180"/>
      <c r="H2689" s="180"/>
      <c r="I2689" s="180"/>
    </row>
    <row r="2690" spans="1:9" x14ac:dyDescent="0.45">
      <c r="A2690" s="1"/>
      <c r="B2690" s="73">
        <v>4</v>
      </c>
      <c r="C2690" s="73">
        <v>4</v>
      </c>
      <c r="D2690" s="180" t="s">
        <v>663</v>
      </c>
      <c r="E2690" s="39">
        <v>43586</v>
      </c>
      <c r="F2690" s="179">
        <v>0.53472222222222221</v>
      </c>
      <c r="G2690" s="180">
        <v>2</v>
      </c>
      <c r="H2690" s="180"/>
      <c r="I2690" s="180"/>
    </row>
    <row r="2691" spans="1:9" x14ac:dyDescent="0.45">
      <c r="A2691" s="180" t="s">
        <v>183</v>
      </c>
      <c r="B2691" s="73">
        <v>4</v>
      </c>
      <c r="C2691" s="73"/>
      <c r="D2691" s="180" t="s">
        <v>663</v>
      </c>
      <c r="E2691" s="39">
        <v>43586</v>
      </c>
      <c r="F2691" s="179">
        <v>0.53472222222222221</v>
      </c>
      <c r="G2691" s="180">
        <v>2</v>
      </c>
      <c r="H2691" s="180"/>
      <c r="I2691" s="180"/>
    </row>
    <row r="2692" spans="1:9" x14ac:dyDescent="0.45">
      <c r="A2692" s="180" t="s">
        <v>183</v>
      </c>
      <c r="B2692" s="73">
        <v>8</v>
      </c>
      <c r="C2692" s="73">
        <v>8</v>
      </c>
      <c r="D2692" s="180" t="s">
        <v>663</v>
      </c>
      <c r="E2692" s="39">
        <v>43593</v>
      </c>
      <c r="F2692" s="179">
        <v>0.58333333333333337</v>
      </c>
      <c r="G2692" s="180">
        <v>4</v>
      </c>
      <c r="H2692" s="180"/>
      <c r="I2692" s="180"/>
    </row>
    <row r="2693" spans="1:9" x14ac:dyDescent="0.45">
      <c r="A2693" s="180" t="s">
        <v>183</v>
      </c>
      <c r="B2693" s="73">
        <v>8</v>
      </c>
      <c r="C2693" s="73"/>
      <c r="D2693" s="180" t="s">
        <v>663</v>
      </c>
      <c r="E2693" s="39">
        <v>43593</v>
      </c>
      <c r="F2693" s="179">
        <v>0.58333333333333337</v>
      </c>
      <c r="G2693" s="180">
        <v>4</v>
      </c>
      <c r="H2693" s="180"/>
      <c r="I2693" s="180"/>
    </row>
    <row r="2694" spans="1:9" x14ac:dyDescent="0.45">
      <c r="A2694" s="180" t="s">
        <v>183</v>
      </c>
      <c r="B2694" s="73"/>
      <c r="C2694" s="73">
        <f>SUM(C2690:C2693)</f>
        <v>12</v>
      </c>
      <c r="D2694" s="180"/>
      <c r="E2694" s="39"/>
      <c r="F2694" s="179"/>
      <c r="G2694" s="180"/>
      <c r="H2694" s="180"/>
      <c r="I2694" s="180"/>
    </row>
    <row r="2695" spans="1:9" x14ac:dyDescent="0.45">
      <c r="A2695" s="1" t="s">
        <v>273</v>
      </c>
      <c r="B2695" s="73"/>
      <c r="C2695" s="73"/>
      <c r="D2695" s="180"/>
      <c r="E2695" s="39"/>
      <c r="F2695" s="179"/>
      <c r="G2695" s="180"/>
      <c r="H2695" s="180"/>
      <c r="I2695" s="180"/>
    </row>
    <row r="2696" spans="1:9" x14ac:dyDescent="0.45">
      <c r="A2696" s="1"/>
      <c r="B2696" s="73">
        <v>15</v>
      </c>
      <c r="C2696" s="73"/>
      <c r="D2696" s="180" t="s">
        <v>658</v>
      </c>
      <c r="E2696" s="39">
        <v>43593</v>
      </c>
      <c r="F2696" s="179">
        <v>0.35416666666666669</v>
      </c>
      <c r="G2696" s="180">
        <v>4</v>
      </c>
      <c r="H2696" s="180" t="s">
        <v>671</v>
      </c>
      <c r="I2696" s="180"/>
    </row>
    <row r="2697" spans="1:9" x14ac:dyDescent="0.45">
      <c r="A2697" s="180" t="s">
        <v>11</v>
      </c>
      <c r="B2697" s="73">
        <v>4800</v>
      </c>
      <c r="C2697" s="73">
        <v>4800</v>
      </c>
      <c r="D2697" s="180" t="s">
        <v>658</v>
      </c>
      <c r="E2697" s="39">
        <v>43593</v>
      </c>
      <c r="F2697" s="179">
        <v>0.67361111111111116</v>
      </c>
      <c r="G2697" s="180">
        <v>5</v>
      </c>
      <c r="H2697" s="180" t="s">
        <v>665</v>
      </c>
      <c r="I2697" s="180"/>
    </row>
    <row r="2698" spans="1:9" x14ac:dyDescent="0.45">
      <c r="A2698" s="180" t="s">
        <v>11</v>
      </c>
      <c r="B2698" s="73">
        <v>10</v>
      </c>
      <c r="C2698" s="73"/>
      <c r="D2698" s="180" t="s">
        <v>658</v>
      </c>
      <c r="E2698" s="39">
        <v>43595</v>
      </c>
      <c r="F2698" s="179">
        <v>0.34513888888888888</v>
      </c>
      <c r="G2698" s="180">
        <v>1</v>
      </c>
      <c r="H2698" s="180"/>
      <c r="I2698" s="180"/>
    </row>
    <row r="2699" spans="1:9" x14ac:dyDescent="0.45">
      <c r="A2699" s="180" t="s">
        <v>11</v>
      </c>
      <c r="B2699" s="73">
        <v>150</v>
      </c>
      <c r="C2699" s="73"/>
      <c r="D2699" s="180" t="s">
        <v>658</v>
      </c>
      <c r="E2699" s="39">
        <v>43595</v>
      </c>
      <c r="F2699" s="179">
        <v>0.63263888888888886</v>
      </c>
      <c r="G2699" s="180">
        <v>1</v>
      </c>
      <c r="H2699" s="180" t="s">
        <v>672</v>
      </c>
      <c r="I2699" s="180"/>
    </row>
    <row r="2700" spans="1:9" x14ac:dyDescent="0.45">
      <c r="A2700" s="180" t="s">
        <v>11</v>
      </c>
      <c r="B2700" s="73">
        <v>220</v>
      </c>
      <c r="C2700" s="73">
        <v>220</v>
      </c>
      <c r="D2700" s="180" t="s">
        <v>658</v>
      </c>
      <c r="E2700" s="39">
        <v>43595</v>
      </c>
      <c r="F2700" s="179">
        <v>0.75694444444444453</v>
      </c>
      <c r="G2700" s="180">
        <v>6</v>
      </c>
      <c r="H2700" s="180" t="s">
        <v>667</v>
      </c>
      <c r="I2700" s="180"/>
    </row>
    <row r="2701" spans="1:9" x14ac:dyDescent="0.45">
      <c r="A2701" s="180" t="s">
        <v>11</v>
      </c>
      <c r="B2701" s="73">
        <v>100</v>
      </c>
      <c r="C2701" s="73">
        <v>100</v>
      </c>
      <c r="D2701" s="180" t="s">
        <v>658</v>
      </c>
      <c r="E2701" s="39">
        <v>43598</v>
      </c>
      <c r="F2701" s="179">
        <v>0.51736111111111105</v>
      </c>
      <c r="G2701" s="180">
        <v>3</v>
      </c>
      <c r="H2701" s="180" t="s">
        <v>668</v>
      </c>
      <c r="I2701" s="180"/>
    </row>
    <row r="2702" spans="1:9" x14ac:dyDescent="0.45">
      <c r="A2702" s="180" t="s">
        <v>11</v>
      </c>
      <c r="B2702" s="73">
        <v>100</v>
      </c>
      <c r="C2702" s="73"/>
      <c r="D2702" s="180" t="s">
        <v>658</v>
      </c>
      <c r="E2702" s="39">
        <v>43598</v>
      </c>
      <c r="F2702" s="179">
        <v>0.51736111111111105</v>
      </c>
      <c r="G2702" s="180">
        <v>3</v>
      </c>
      <c r="H2702" s="180" t="s">
        <v>668</v>
      </c>
      <c r="I2702" s="180"/>
    </row>
    <row r="2703" spans="1:9" x14ac:dyDescent="0.45">
      <c r="A2703" s="180" t="s">
        <v>11</v>
      </c>
      <c r="B2703" s="73">
        <v>30</v>
      </c>
      <c r="C2703" s="73"/>
      <c r="D2703" s="180" t="s">
        <v>658</v>
      </c>
      <c r="E2703" s="39">
        <v>43599</v>
      </c>
      <c r="F2703" s="179">
        <v>0.39583333333333331</v>
      </c>
      <c r="G2703" s="180">
        <v>1</v>
      </c>
      <c r="H2703" s="180"/>
      <c r="I2703" s="180"/>
    </row>
    <row r="2704" spans="1:9" x14ac:dyDescent="0.45">
      <c r="A2704" s="180" t="s">
        <v>11</v>
      </c>
      <c r="B2704" s="73">
        <v>1600</v>
      </c>
      <c r="C2704" s="73">
        <v>1600</v>
      </c>
      <c r="D2704" s="180" t="s">
        <v>658</v>
      </c>
      <c r="E2704" s="39">
        <v>43599</v>
      </c>
      <c r="F2704" s="179">
        <v>0.40277777777777773</v>
      </c>
      <c r="G2704" s="180">
        <v>5</v>
      </c>
      <c r="H2704" s="180" t="s">
        <v>669</v>
      </c>
      <c r="I2704" s="180"/>
    </row>
    <row r="2705" spans="1:9" x14ac:dyDescent="0.45">
      <c r="A2705" s="180" t="s">
        <v>11</v>
      </c>
      <c r="B2705" s="73">
        <v>800</v>
      </c>
      <c r="C2705" s="73">
        <v>800</v>
      </c>
      <c r="D2705" s="180" t="s">
        <v>658</v>
      </c>
      <c r="E2705" s="39">
        <v>43600</v>
      </c>
      <c r="F2705" s="179">
        <v>0.46527777777777773</v>
      </c>
      <c r="G2705" s="180">
        <v>2</v>
      </c>
      <c r="H2705" s="180"/>
      <c r="I2705" s="180"/>
    </row>
    <row r="2706" spans="1:9" x14ac:dyDescent="0.45">
      <c r="A2706" s="180" t="s">
        <v>11</v>
      </c>
      <c r="B2706" s="73">
        <v>300</v>
      </c>
      <c r="C2706" s="73"/>
      <c r="D2706" s="180" t="s">
        <v>658</v>
      </c>
      <c r="E2706" s="39">
        <v>43603</v>
      </c>
      <c r="F2706" s="179">
        <v>0.54652777777777783</v>
      </c>
      <c r="G2706" s="180">
        <v>3</v>
      </c>
      <c r="H2706" s="180"/>
      <c r="I2706" s="180"/>
    </row>
    <row r="2707" spans="1:9" x14ac:dyDescent="0.45">
      <c r="A2707" s="180" t="s">
        <v>11</v>
      </c>
      <c r="B2707" s="73">
        <v>320</v>
      </c>
      <c r="C2707" s="73">
        <v>320</v>
      </c>
      <c r="D2707" s="180" t="s">
        <v>658</v>
      </c>
      <c r="E2707" s="39">
        <v>43603</v>
      </c>
      <c r="F2707" s="179">
        <v>0.53125</v>
      </c>
      <c r="G2707" s="180">
        <v>14</v>
      </c>
      <c r="H2707" s="180" t="s">
        <v>673</v>
      </c>
      <c r="I2707" s="180" t="s">
        <v>678</v>
      </c>
    </row>
    <row r="2708" spans="1:9" x14ac:dyDescent="0.45">
      <c r="A2708" s="180" t="s">
        <v>11</v>
      </c>
      <c r="B2708" s="73">
        <v>1</v>
      </c>
      <c r="C2708" s="73">
        <v>1</v>
      </c>
      <c r="D2708" s="180" t="s">
        <v>658</v>
      </c>
      <c r="E2708" s="39">
        <v>43608</v>
      </c>
      <c r="F2708" s="179">
        <v>0.70138888888888884</v>
      </c>
      <c r="G2708" s="180">
        <v>2</v>
      </c>
      <c r="H2708" s="180" t="s">
        <v>676</v>
      </c>
      <c r="I2708" s="180"/>
    </row>
    <row r="2709" spans="1:9" x14ac:dyDescent="0.45">
      <c r="A2709" s="180" t="s">
        <v>11</v>
      </c>
      <c r="B2709" s="73"/>
      <c r="C2709" s="73">
        <f>SUM(C2696:C2708)</f>
        <v>7841</v>
      </c>
      <c r="D2709" s="180"/>
      <c r="E2709" s="39"/>
      <c r="F2709" s="179"/>
      <c r="G2709" s="180"/>
      <c r="H2709" s="180"/>
      <c r="I2709" s="180"/>
    </row>
    <row r="2710" spans="1:9" x14ac:dyDescent="0.45">
      <c r="A2710" s="1" t="s">
        <v>273</v>
      </c>
      <c r="B2710" s="73"/>
      <c r="C2710" s="73"/>
      <c r="D2710" s="180"/>
      <c r="E2710" s="39"/>
      <c r="F2710" s="179"/>
      <c r="G2710" s="180"/>
      <c r="H2710" s="180"/>
      <c r="I2710" s="180"/>
    </row>
    <row r="2711" spans="1:9" x14ac:dyDescent="0.45">
      <c r="A2711" s="1"/>
      <c r="B2711" s="73">
        <v>2</v>
      </c>
      <c r="C2711" s="73">
        <v>2</v>
      </c>
      <c r="D2711" s="180" t="s">
        <v>658</v>
      </c>
      <c r="E2711" s="39">
        <v>43583</v>
      </c>
      <c r="F2711" s="179">
        <v>0.40277777777777773</v>
      </c>
      <c r="G2711" s="180">
        <v>2</v>
      </c>
      <c r="H2711" s="180" t="s">
        <v>662</v>
      </c>
      <c r="I2711" s="180"/>
    </row>
    <row r="2712" spans="1:9" x14ac:dyDescent="0.45">
      <c r="A2712" s="180" t="s">
        <v>7</v>
      </c>
      <c r="B2712" s="73">
        <v>1</v>
      </c>
      <c r="C2712" s="73">
        <v>1</v>
      </c>
      <c r="D2712" s="180" t="s">
        <v>663</v>
      </c>
      <c r="E2712" s="39">
        <v>43586</v>
      </c>
      <c r="F2712" s="179">
        <v>0.53472222222222221</v>
      </c>
      <c r="G2712" s="180">
        <v>2</v>
      </c>
      <c r="H2712" s="180"/>
      <c r="I2712" s="180"/>
    </row>
    <row r="2713" spans="1:9" x14ac:dyDescent="0.45">
      <c r="A2713" s="180" t="s">
        <v>7</v>
      </c>
      <c r="B2713" s="73">
        <v>1</v>
      </c>
      <c r="C2713" s="73"/>
      <c r="D2713" s="180" t="s">
        <v>663</v>
      </c>
      <c r="E2713" s="39">
        <v>43586</v>
      </c>
      <c r="F2713" s="179">
        <v>0.53472222222222221</v>
      </c>
      <c r="G2713" s="180">
        <v>2</v>
      </c>
      <c r="H2713" s="180"/>
      <c r="I2713" s="180"/>
    </row>
    <row r="2714" spans="1:9" x14ac:dyDescent="0.45">
      <c r="A2714" s="180" t="s">
        <v>7</v>
      </c>
      <c r="B2714" s="73">
        <v>1</v>
      </c>
      <c r="C2714" s="73">
        <v>1</v>
      </c>
      <c r="D2714" s="180" t="s">
        <v>658</v>
      </c>
      <c r="E2714" s="39">
        <v>43588</v>
      </c>
      <c r="F2714" s="179">
        <v>0.53125</v>
      </c>
      <c r="G2714" s="180">
        <v>2</v>
      </c>
      <c r="H2714" s="180" t="s">
        <v>664</v>
      </c>
      <c r="I2714" s="180"/>
    </row>
    <row r="2715" spans="1:9" x14ac:dyDescent="0.45">
      <c r="A2715" s="180" t="s">
        <v>7</v>
      </c>
      <c r="B2715" s="73">
        <v>13</v>
      </c>
      <c r="C2715" s="73">
        <v>13</v>
      </c>
      <c r="D2715" s="180" t="s">
        <v>658</v>
      </c>
      <c r="E2715" s="39">
        <v>43589</v>
      </c>
      <c r="F2715" s="179">
        <v>0.59583333333333333</v>
      </c>
      <c r="G2715" s="180">
        <v>1</v>
      </c>
      <c r="H2715" s="180"/>
      <c r="I2715" s="180"/>
    </row>
    <row r="2716" spans="1:9" x14ac:dyDescent="0.45">
      <c r="A2716" s="180" t="s">
        <v>7</v>
      </c>
      <c r="B2716" s="73">
        <v>3</v>
      </c>
      <c r="C2716" s="73">
        <v>3</v>
      </c>
      <c r="D2716" s="180" t="s">
        <v>658</v>
      </c>
      <c r="E2716" s="39">
        <v>43593</v>
      </c>
      <c r="F2716" s="179">
        <v>0.67361111111111116</v>
      </c>
      <c r="G2716" s="180">
        <v>5</v>
      </c>
      <c r="H2716" s="180" t="s">
        <v>665</v>
      </c>
      <c r="I2716" s="180"/>
    </row>
    <row r="2717" spans="1:9" x14ac:dyDescent="0.45">
      <c r="A2717" s="180" t="s">
        <v>7</v>
      </c>
      <c r="B2717" s="73">
        <v>2</v>
      </c>
      <c r="C2717" s="73"/>
      <c r="D2717" s="180" t="s">
        <v>658</v>
      </c>
      <c r="E2717" s="39">
        <v>43593</v>
      </c>
      <c r="F2717" s="179">
        <v>0.35416666666666669</v>
      </c>
      <c r="G2717" s="180">
        <v>4</v>
      </c>
      <c r="H2717" s="180" t="s">
        <v>671</v>
      </c>
      <c r="I2717" s="180"/>
    </row>
    <row r="2718" spans="1:9" x14ac:dyDescent="0.45">
      <c r="A2718" s="180" t="s">
        <v>7</v>
      </c>
      <c r="B2718" s="73">
        <v>1</v>
      </c>
      <c r="C2718" s="73">
        <v>1</v>
      </c>
      <c r="D2718" s="180" t="s">
        <v>658</v>
      </c>
      <c r="E2718" s="39">
        <v>43595</v>
      </c>
      <c r="F2718" s="179">
        <v>0.75694444444444453</v>
      </c>
      <c r="G2718" s="180">
        <v>6</v>
      </c>
      <c r="H2718" s="180" t="s">
        <v>667</v>
      </c>
      <c r="I2718" s="180"/>
    </row>
    <row r="2719" spans="1:9" x14ac:dyDescent="0.45">
      <c r="A2719" s="180" t="s">
        <v>7</v>
      </c>
      <c r="B2719" s="73">
        <v>0</v>
      </c>
      <c r="C2719" s="73"/>
      <c r="D2719" s="180" t="s">
        <v>658</v>
      </c>
      <c r="E2719" s="39">
        <v>43598</v>
      </c>
      <c r="F2719" s="179">
        <v>0.51736111111111105</v>
      </c>
      <c r="G2719" s="180">
        <v>3</v>
      </c>
      <c r="H2719" s="180" t="s">
        <v>668</v>
      </c>
      <c r="I2719" s="180"/>
    </row>
    <row r="2720" spans="1:9" x14ac:dyDescent="0.45">
      <c r="A2720" s="180" t="s">
        <v>7</v>
      </c>
      <c r="B2720" s="73">
        <v>5</v>
      </c>
      <c r="C2720" s="73">
        <v>5</v>
      </c>
      <c r="D2720" s="180" t="s">
        <v>658</v>
      </c>
      <c r="E2720" s="39">
        <v>43598</v>
      </c>
      <c r="F2720" s="179">
        <v>0.51736111111111105</v>
      </c>
      <c r="G2720" s="180">
        <v>3</v>
      </c>
      <c r="H2720" s="180" t="s">
        <v>668</v>
      </c>
      <c r="I2720" s="180"/>
    </row>
    <row r="2721" spans="1:9" x14ac:dyDescent="0.45">
      <c r="A2721" s="180" t="s">
        <v>7</v>
      </c>
      <c r="B2721" s="73">
        <v>6</v>
      </c>
      <c r="C2721" s="73">
        <v>6</v>
      </c>
      <c r="D2721" s="180" t="s">
        <v>658</v>
      </c>
      <c r="E2721" s="39">
        <v>43599</v>
      </c>
      <c r="F2721" s="179">
        <v>0.40277777777777773</v>
      </c>
      <c r="G2721" s="180">
        <v>5</v>
      </c>
      <c r="H2721" s="180" t="s">
        <v>669</v>
      </c>
      <c r="I2721" s="180"/>
    </row>
    <row r="2722" spans="1:9" x14ac:dyDescent="0.45">
      <c r="A2722" s="180" t="s">
        <v>7</v>
      </c>
      <c r="B2722" s="73">
        <v>4</v>
      </c>
      <c r="C2722" s="73">
        <v>4</v>
      </c>
      <c r="D2722" s="180" t="s">
        <v>658</v>
      </c>
      <c r="E2722" s="39">
        <v>43600</v>
      </c>
      <c r="F2722" s="179">
        <v>0.46527777777777773</v>
      </c>
      <c r="G2722" s="180">
        <v>2</v>
      </c>
      <c r="H2722" s="180"/>
      <c r="I2722" s="180"/>
    </row>
    <row r="2723" spans="1:9" x14ac:dyDescent="0.45">
      <c r="A2723" s="180" t="s">
        <v>7</v>
      </c>
      <c r="B2723" s="73">
        <v>6</v>
      </c>
      <c r="C2723" s="73">
        <v>6</v>
      </c>
      <c r="D2723" s="180" t="s">
        <v>658</v>
      </c>
      <c r="E2723" s="39">
        <v>43603</v>
      </c>
      <c r="F2723" s="179">
        <v>0.54652777777777783</v>
      </c>
      <c r="G2723" s="180">
        <v>3</v>
      </c>
      <c r="H2723" s="180"/>
      <c r="I2723" s="180"/>
    </row>
    <row r="2724" spans="1:9" x14ac:dyDescent="0.45">
      <c r="A2724" s="180" t="s">
        <v>7</v>
      </c>
      <c r="B2724" s="73">
        <v>6</v>
      </c>
      <c r="C2724" s="73"/>
      <c r="D2724" s="180" t="s">
        <v>658</v>
      </c>
      <c r="E2724" s="39">
        <v>43603</v>
      </c>
      <c r="F2724" s="179">
        <v>0.53125</v>
      </c>
      <c r="G2724" s="180">
        <v>14</v>
      </c>
      <c r="H2724" s="180" t="s">
        <v>673</v>
      </c>
      <c r="I2724" s="180"/>
    </row>
    <row r="2725" spans="1:9" x14ac:dyDescent="0.45">
      <c r="A2725" s="180" t="s">
        <v>7</v>
      </c>
      <c r="B2725" s="73"/>
      <c r="C2725" s="73">
        <f>SUM(C2711:C2724)</f>
        <v>42</v>
      </c>
      <c r="D2725" s="180"/>
      <c r="E2725" s="39"/>
      <c r="F2725" s="179"/>
      <c r="G2725" s="180"/>
      <c r="H2725" s="180"/>
      <c r="I2725" s="180"/>
    </row>
    <row r="2726" spans="1:9" x14ac:dyDescent="0.45">
      <c r="A2726" s="1" t="s">
        <v>273</v>
      </c>
      <c r="B2726" s="73"/>
      <c r="C2726" s="73"/>
      <c r="D2726" s="180"/>
      <c r="E2726" s="39"/>
      <c r="F2726" s="179"/>
      <c r="G2726" s="180"/>
      <c r="H2726" s="180"/>
      <c r="I2726" s="180"/>
    </row>
    <row r="2727" spans="1:9" x14ac:dyDescent="0.45">
      <c r="A2727" s="1"/>
      <c r="B2727" s="73">
        <v>2</v>
      </c>
      <c r="C2727" s="73">
        <v>2</v>
      </c>
      <c r="D2727" s="180" t="s">
        <v>658</v>
      </c>
      <c r="E2727" s="39">
        <v>43583</v>
      </c>
      <c r="F2727" s="179">
        <v>0.40277777777777773</v>
      </c>
      <c r="G2727" s="180">
        <v>2</v>
      </c>
      <c r="H2727" s="180" t="s">
        <v>662</v>
      </c>
      <c r="I2727" s="180"/>
    </row>
    <row r="2728" spans="1:9" x14ac:dyDescent="0.45">
      <c r="A2728" s="180" t="s">
        <v>81</v>
      </c>
      <c r="B2728" s="73">
        <v>2</v>
      </c>
      <c r="C2728" s="73">
        <v>2</v>
      </c>
      <c r="D2728" s="180" t="s">
        <v>658</v>
      </c>
      <c r="E2728" s="39">
        <v>43593</v>
      </c>
      <c r="F2728" s="179">
        <v>0.35416666666666669</v>
      </c>
      <c r="G2728" s="180">
        <v>4</v>
      </c>
      <c r="H2728" s="180" t="s">
        <v>671</v>
      </c>
      <c r="I2728" s="180"/>
    </row>
    <row r="2729" spans="1:9" x14ac:dyDescent="0.45">
      <c r="A2729" s="180" t="s">
        <v>81</v>
      </c>
      <c r="B2729" s="73">
        <v>1</v>
      </c>
      <c r="C2729" s="73"/>
      <c r="D2729" s="180" t="s">
        <v>658</v>
      </c>
      <c r="E2729" s="39">
        <v>43595</v>
      </c>
      <c r="F2729" s="179">
        <v>0.75694444444444453</v>
      </c>
      <c r="G2729" s="180">
        <v>6</v>
      </c>
      <c r="H2729" s="180" t="s">
        <v>667</v>
      </c>
      <c r="I2729" s="180"/>
    </row>
    <row r="2730" spans="1:9" x14ac:dyDescent="0.45">
      <c r="A2730" s="180" t="s">
        <v>81</v>
      </c>
      <c r="B2730" s="73">
        <v>2</v>
      </c>
      <c r="C2730" s="73">
        <v>2</v>
      </c>
      <c r="D2730" s="180" t="s">
        <v>658</v>
      </c>
      <c r="E2730" s="39">
        <v>43595</v>
      </c>
      <c r="F2730" s="179">
        <v>0.34513888888888888</v>
      </c>
      <c r="G2730" s="180">
        <v>1</v>
      </c>
      <c r="H2730" s="180"/>
      <c r="I2730" s="180"/>
    </row>
    <row r="2731" spans="1:9" x14ac:dyDescent="0.45">
      <c r="A2731" s="180" t="s">
        <v>81</v>
      </c>
      <c r="B2731" s="73">
        <v>2</v>
      </c>
      <c r="C2731" s="73"/>
      <c r="D2731" s="180" t="s">
        <v>658</v>
      </c>
      <c r="E2731" s="39">
        <v>43595</v>
      </c>
      <c r="F2731" s="179">
        <v>0.96180555555555547</v>
      </c>
      <c r="G2731" s="180">
        <v>1</v>
      </c>
      <c r="H2731" s="180"/>
      <c r="I2731" s="180"/>
    </row>
    <row r="2732" spans="1:9" x14ac:dyDescent="0.45">
      <c r="A2732" s="180" t="s">
        <v>81</v>
      </c>
      <c r="B2732" s="73">
        <v>2</v>
      </c>
      <c r="C2732" s="73">
        <v>2</v>
      </c>
      <c r="D2732" s="180" t="s">
        <v>658</v>
      </c>
      <c r="E2732" s="39">
        <v>43599</v>
      </c>
      <c r="F2732" s="179">
        <v>0.39583333333333331</v>
      </c>
      <c r="G2732" s="180">
        <v>1</v>
      </c>
      <c r="H2732" s="180"/>
      <c r="I2732" s="180"/>
    </row>
    <row r="2733" spans="1:9" x14ac:dyDescent="0.45">
      <c r="A2733" s="180" t="s">
        <v>81</v>
      </c>
      <c r="B2733" s="73">
        <v>2</v>
      </c>
      <c r="C2733" s="73"/>
      <c r="D2733" s="180" t="s">
        <v>658</v>
      </c>
      <c r="E2733" s="39">
        <v>43599</v>
      </c>
      <c r="F2733" s="179">
        <v>0.40277777777777773</v>
      </c>
      <c r="G2733" s="180">
        <v>5</v>
      </c>
      <c r="H2733" s="180" t="s">
        <v>669</v>
      </c>
      <c r="I2733" s="180"/>
    </row>
    <row r="2734" spans="1:9" x14ac:dyDescent="0.45">
      <c r="A2734" s="180" t="s">
        <v>81</v>
      </c>
      <c r="B2734" s="73">
        <v>1</v>
      </c>
      <c r="C2734" s="73">
        <v>1</v>
      </c>
      <c r="D2734" s="180" t="s">
        <v>658</v>
      </c>
      <c r="E2734" s="39">
        <v>43600</v>
      </c>
      <c r="F2734" s="179">
        <v>0.46527777777777773</v>
      </c>
      <c r="G2734" s="180">
        <v>2</v>
      </c>
      <c r="H2734" s="180"/>
      <c r="I2734" s="180"/>
    </row>
    <row r="2735" spans="1:9" x14ac:dyDescent="0.45">
      <c r="A2735" s="180" t="s">
        <v>81</v>
      </c>
      <c r="B2735" s="73">
        <v>2</v>
      </c>
      <c r="C2735" s="73">
        <v>2</v>
      </c>
      <c r="D2735" s="180" t="s">
        <v>658</v>
      </c>
      <c r="E2735" s="39">
        <v>43603</v>
      </c>
      <c r="F2735" s="179">
        <v>0.54652777777777783</v>
      </c>
      <c r="G2735" s="180">
        <v>3</v>
      </c>
      <c r="H2735" s="180"/>
      <c r="I2735" s="180"/>
    </row>
    <row r="2736" spans="1:9" x14ac:dyDescent="0.45">
      <c r="A2736" s="180" t="s">
        <v>81</v>
      </c>
      <c r="B2736" s="73">
        <v>2</v>
      </c>
      <c r="C2736" s="73"/>
      <c r="D2736" s="180" t="s">
        <v>658</v>
      </c>
      <c r="E2736" s="39">
        <v>43603</v>
      </c>
      <c r="F2736" s="179">
        <v>0.53125</v>
      </c>
      <c r="G2736" s="180">
        <v>14</v>
      </c>
      <c r="H2736" s="180" t="s">
        <v>673</v>
      </c>
      <c r="I2736" s="180"/>
    </row>
    <row r="2737" spans="1:9" x14ac:dyDescent="0.45">
      <c r="A2737" s="180" t="s">
        <v>81</v>
      </c>
      <c r="B2737" s="73">
        <v>1</v>
      </c>
      <c r="C2737" s="73">
        <v>1</v>
      </c>
      <c r="D2737" s="180" t="s">
        <v>658</v>
      </c>
      <c r="E2737" s="39">
        <v>43608</v>
      </c>
      <c r="F2737" s="179">
        <v>0.70138888888888884</v>
      </c>
      <c r="G2737" s="180">
        <v>2</v>
      </c>
      <c r="H2737" s="180" t="s">
        <v>676</v>
      </c>
      <c r="I2737" s="180"/>
    </row>
    <row r="2738" spans="1:9" x14ac:dyDescent="0.45">
      <c r="A2738" s="180" t="s">
        <v>81</v>
      </c>
      <c r="B2738" s="180"/>
      <c r="C2738" s="73">
        <f>SUM(C2727:C2737)</f>
        <v>12</v>
      </c>
      <c r="D2738" s="180"/>
      <c r="E2738" s="180"/>
      <c r="F2738" s="180"/>
      <c r="G2738" s="180"/>
      <c r="H2738" s="180"/>
      <c r="I2738" s="180"/>
    </row>
    <row r="2739" spans="1:9" x14ac:dyDescent="0.45">
      <c r="A2739" s="1" t="s">
        <v>273</v>
      </c>
      <c r="B2739" s="180"/>
      <c r="C2739" s="180"/>
      <c r="D2739" s="180"/>
      <c r="E2739" s="180"/>
      <c r="F2739" s="180"/>
      <c r="G2739" s="180"/>
      <c r="H2739" s="180"/>
      <c r="I2739" s="180"/>
    </row>
    <row r="2740" spans="1:9" x14ac:dyDescent="0.45">
      <c r="A2740" s="180"/>
      <c r="B2740" s="180"/>
      <c r="C2740" s="180"/>
      <c r="D2740" s="180"/>
      <c r="E2740" s="180"/>
      <c r="F2740" s="180"/>
      <c r="G2740" s="180"/>
      <c r="H2740" s="180"/>
      <c r="I2740" s="180"/>
    </row>
    <row r="2741" spans="1:9" x14ac:dyDescent="0.45">
      <c r="A2741" s="180"/>
      <c r="B2741" s="180"/>
      <c r="C2741" s="180"/>
      <c r="D2741" s="180"/>
      <c r="E2741" s="180"/>
      <c r="F2741" s="180"/>
      <c r="G2741" s="180"/>
      <c r="H2741" s="180"/>
      <c r="I2741" s="180"/>
    </row>
  </sheetData>
  <sortState xmlns:xlrd2="http://schemas.microsoft.com/office/spreadsheetml/2017/richdata2" ref="C1061:AA1065">
    <sortCondition ref="E1061:E1065"/>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R227"/>
  <sheetViews>
    <sheetView workbookViewId="0">
      <selection activeCell="A2" sqref="A2"/>
    </sheetView>
  </sheetViews>
  <sheetFormatPr defaultRowHeight="14.25" x14ac:dyDescent="0.45"/>
  <cols>
    <col min="1" max="1" width="35.73046875" customWidth="1"/>
    <col min="2" max="2" width="10.59765625" style="180" customWidth="1"/>
    <col min="3" max="43" width="10.59765625" customWidth="1"/>
    <col min="62" max="62" width="33.73046875" customWidth="1"/>
    <col min="80" max="80" width="32.59765625" bestFit="1" customWidth="1"/>
    <col min="81" max="83" width="13.73046875" customWidth="1"/>
  </cols>
  <sheetData>
    <row r="1" spans="1:96" x14ac:dyDescent="0.45">
      <c r="A1" s="1" t="s">
        <v>257</v>
      </c>
      <c r="B1" s="1"/>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row>
    <row r="2" spans="1:96" x14ac:dyDescent="0.45">
      <c r="A2" s="1" t="s">
        <v>219</v>
      </c>
      <c r="B2" s="1"/>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row>
    <row r="3" spans="1:96" s="180" customFormat="1" x14ac:dyDescent="0.45">
      <c r="A3" s="1"/>
      <c r="B3" s="1"/>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row>
    <row r="4" spans="1:96" s="180" customFormat="1" x14ac:dyDescent="0.45">
      <c r="A4" s="9" t="s">
        <v>685</v>
      </c>
      <c r="B4" s="1"/>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row>
    <row r="5" spans="1:96" x14ac:dyDescent="0.45">
      <c r="A5" s="9" t="s">
        <v>691</v>
      </c>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row>
    <row r="6" spans="1:96" s="180" customFormat="1" x14ac:dyDescent="0.45">
      <c r="A6" s="229" t="s">
        <v>684</v>
      </c>
      <c r="B6" s="14"/>
      <c r="C6" s="14"/>
      <c r="D6" s="14"/>
      <c r="E6" s="14"/>
      <c r="F6" s="14"/>
      <c r="G6" s="14"/>
      <c r="H6" s="14"/>
      <c r="I6" s="14"/>
      <c r="J6" s="14"/>
      <c r="K6" s="14"/>
      <c r="L6" s="14"/>
      <c r="M6" s="14"/>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row>
    <row r="7" spans="1:96" s="180" customFormat="1" x14ac:dyDescent="0.45">
      <c r="A7" s="9"/>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row>
    <row r="8" spans="1:96" x14ac:dyDescent="0.45">
      <c r="A8" s="180"/>
      <c r="B8" s="1" t="s">
        <v>20</v>
      </c>
      <c r="D8" s="180"/>
      <c r="E8" s="180"/>
      <c r="F8" s="180"/>
      <c r="G8" s="1"/>
      <c r="H8" s="180"/>
      <c r="I8" s="180"/>
      <c r="J8" s="180"/>
      <c r="K8" s="180"/>
      <c r="L8" s="180"/>
      <c r="M8" s="180"/>
      <c r="N8" s="180"/>
      <c r="O8" s="180"/>
      <c r="P8" s="180"/>
      <c r="Q8" s="180"/>
      <c r="R8" s="180"/>
      <c r="S8" s="180"/>
      <c r="T8" s="180" t="s">
        <v>21</v>
      </c>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row>
    <row r="9" spans="1:96" x14ac:dyDescent="0.45">
      <c r="A9" s="26" t="s">
        <v>19</v>
      </c>
      <c r="B9" s="231">
        <v>13</v>
      </c>
      <c r="C9" s="254">
        <v>14</v>
      </c>
      <c r="D9" s="254">
        <v>15</v>
      </c>
      <c r="E9" s="254">
        <v>16</v>
      </c>
      <c r="F9" s="254">
        <v>17</v>
      </c>
      <c r="G9" s="254">
        <v>18</v>
      </c>
      <c r="H9" s="254">
        <v>19</v>
      </c>
      <c r="I9" s="254">
        <v>20</v>
      </c>
      <c r="J9" s="254">
        <v>21</v>
      </c>
      <c r="K9" s="189">
        <v>22</v>
      </c>
      <c r="L9" s="191">
        <v>23</v>
      </c>
      <c r="M9" s="191">
        <v>24</v>
      </c>
      <c r="N9" s="191">
        <v>25</v>
      </c>
      <c r="O9" s="191">
        <v>26</v>
      </c>
      <c r="P9" s="191">
        <v>27</v>
      </c>
      <c r="Q9" s="191">
        <v>28</v>
      </c>
      <c r="R9" s="191">
        <v>29</v>
      </c>
      <c r="S9" s="191">
        <v>30</v>
      </c>
      <c r="T9" s="191">
        <v>1</v>
      </c>
      <c r="U9" s="191">
        <v>2</v>
      </c>
      <c r="V9" s="191">
        <v>3</v>
      </c>
      <c r="W9" s="191">
        <v>4</v>
      </c>
      <c r="X9" s="191">
        <v>5</v>
      </c>
      <c r="Y9" s="191">
        <v>6</v>
      </c>
      <c r="Z9" s="191">
        <v>7</v>
      </c>
      <c r="AA9" s="191">
        <v>8</v>
      </c>
      <c r="AB9" s="191">
        <v>9</v>
      </c>
      <c r="AC9" s="191">
        <v>10</v>
      </c>
      <c r="AD9" s="191">
        <v>11</v>
      </c>
      <c r="AE9" s="191">
        <v>12</v>
      </c>
      <c r="AF9" s="191">
        <v>13</v>
      </c>
      <c r="AG9" s="191">
        <v>14</v>
      </c>
      <c r="AH9" s="191">
        <v>15</v>
      </c>
      <c r="AI9" s="191">
        <v>16</v>
      </c>
      <c r="AJ9" s="191">
        <v>17</v>
      </c>
      <c r="AK9" s="191">
        <v>18</v>
      </c>
      <c r="AL9" s="191">
        <v>19</v>
      </c>
      <c r="AM9" s="191">
        <v>20</v>
      </c>
      <c r="AN9" s="191">
        <v>21</v>
      </c>
      <c r="AO9" s="191">
        <v>22</v>
      </c>
      <c r="AP9" s="191">
        <v>23</v>
      </c>
      <c r="AQ9" s="191" t="s">
        <v>24</v>
      </c>
      <c r="AR9" s="180"/>
    </row>
    <row r="10" spans="1:96" x14ac:dyDescent="0.45">
      <c r="A10" s="251" t="s">
        <v>1</v>
      </c>
      <c r="B10" s="255"/>
      <c r="C10" s="248"/>
      <c r="D10" s="248"/>
      <c r="E10" s="248"/>
      <c r="F10" s="248"/>
      <c r="G10" s="248"/>
      <c r="H10" s="248"/>
      <c r="I10" s="248"/>
      <c r="J10" s="248"/>
      <c r="K10" s="248"/>
      <c r="L10" s="248"/>
      <c r="M10" s="248"/>
      <c r="N10" s="248"/>
      <c r="O10" s="248"/>
      <c r="P10" s="248"/>
      <c r="Q10" s="248"/>
      <c r="R10" s="248"/>
      <c r="S10" s="248"/>
      <c r="T10" s="248"/>
      <c r="U10" s="248">
        <v>2</v>
      </c>
      <c r="V10" s="248">
        <v>3</v>
      </c>
      <c r="W10" s="248">
        <f>2+1</f>
        <v>3</v>
      </c>
      <c r="X10" s="248">
        <v>2</v>
      </c>
      <c r="Y10" s="248"/>
      <c r="Z10" s="248"/>
      <c r="AA10" s="248">
        <f>1+14+11+3</f>
        <v>29</v>
      </c>
      <c r="AB10" s="248">
        <f>1+3+1</f>
        <v>5</v>
      </c>
      <c r="AC10" s="248">
        <f>4+2+3+1</f>
        <v>10</v>
      </c>
      <c r="AD10" s="248">
        <f>1+2+52+10</f>
        <v>65</v>
      </c>
      <c r="AE10" s="248">
        <f>1+3+4+5+1</f>
        <v>14</v>
      </c>
      <c r="AF10" s="248">
        <f>32+13+1+3+18</f>
        <v>67</v>
      </c>
      <c r="AG10" s="248">
        <f>6+11+7+1</f>
        <v>25</v>
      </c>
      <c r="AH10" s="248"/>
      <c r="AI10" s="248">
        <f>10+16</f>
        <v>26</v>
      </c>
      <c r="AJ10" s="248"/>
      <c r="AK10" s="248">
        <f>13+55+5+11</f>
        <v>84</v>
      </c>
      <c r="AL10" s="248">
        <f>1</f>
        <v>1</v>
      </c>
      <c r="AM10" s="248">
        <f>5+1</f>
        <v>6</v>
      </c>
      <c r="AN10" s="248">
        <v>3</v>
      </c>
      <c r="AO10" s="248"/>
      <c r="AP10" s="248">
        <f>31+2</f>
        <v>33</v>
      </c>
      <c r="AQ10" s="248">
        <f t="shared" ref="AQ10:AQ20" si="0">SUM(B10:AP10)</f>
        <v>378</v>
      </c>
    </row>
    <row r="11" spans="1:96" s="180" customFormat="1" x14ac:dyDescent="0.45">
      <c r="A11" s="90" t="s">
        <v>45</v>
      </c>
      <c r="B11" s="249"/>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v>2</v>
      </c>
      <c r="AL11" s="248"/>
      <c r="AM11" s="248"/>
      <c r="AN11" s="248"/>
      <c r="AO11" s="248"/>
      <c r="AP11" s="248"/>
      <c r="AQ11" s="248">
        <f t="shared" si="0"/>
        <v>2</v>
      </c>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row>
    <row r="12" spans="1:96" x14ac:dyDescent="0.45">
      <c r="A12" s="161" t="s">
        <v>41</v>
      </c>
      <c r="B12" s="256"/>
      <c r="C12" s="248"/>
      <c r="D12" s="248"/>
      <c r="E12" s="248"/>
      <c r="F12" s="248"/>
      <c r="G12" s="248"/>
      <c r="H12" s="248">
        <v>1</v>
      </c>
      <c r="I12" s="248"/>
      <c r="J12" s="248"/>
      <c r="K12" s="248"/>
      <c r="L12" s="248">
        <v>5</v>
      </c>
      <c r="M12" s="248"/>
      <c r="N12" s="248"/>
      <c r="O12" s="248"/>
      <c r="P12" s="248">
        <v>5</v>
      </c>
      <c r="Q12" s="248"/>
      <c r="R12" s="248"/>
      <c r="S12" s="248">
        <v>5</v>
      </c>
      <c r="T12" s="248"/>
      <c r="U12" s="248">
        <v>2</v>
      </c>
      <c r="V12" s="248">
        <f>1+5</f>
        <v>6</v>
      </c>
      <c r="W12" s="248"/>
      <c r="X12" s="248"/>
      <c r="Y12" s="248"/>
      <c r="Z12" s="248"/>
      <c r="AA12" s="248">
        <v>1</v>
      </c>
      <c r="AB12" s="248">
        <v>10</v>
      </c>
      <c r="AC12" s="248"/>
      <c r="AD12" s="248">
        <v>3</v>
      </c>
      <c r="AE12" s="248"/>
      <c r="AF12" s="248">
        <v>2</v>
      </c>
      <c r="AG12" s="248"/>
      <c r="AH12" s="248"/>
      <c r="AI12" s="248"/>
      <c r="AJ12" s="248"/>
      <c r="AK12" s="248"/>
      <c r="AL12" s="248"/>
      <c r="AM12" s="248"/>
      <c r="AN12" s="248"/>
      <c r="AO12" s="248"/>
      <c r="AP12" s="248"/>
      <c r="AQ12" s="248">
        <f t="shared" si="0"/>
        <v>40</v>
      </c>
    </row>
    <row r="13" spans="1:96" x14ac:dyDescent="0.45">
      <c r="A13" s="96" t="s">
        <v>2</v>
      </c>
      <c r="B13" s="255">
        <v>1</v>
      </c>
      <c r="C13" s="248"/>
      <c r="D13" s="248"/>
      <c r="E13" s="248"/>
      <c r="F13" s="248"/>
      <c r="G13" s="248">
        <v>25</v>
      </c>
      <c r="H13" s="248">
        <v>26</v>
      </c>
      <c r="I13" s="248"/>
      <c r="J13" s="248"/>
      <c r="K13" s="248">
        <v>3</v>
      </c>
      <c r="L13" s="248">
        <f>20+1</f>
        <v>21</v>
      </c>
      <c r="M13" s="248"/>
      <c r="N13" s="248"/>
      <c r="O13" s="248"/>
      <c r="P13" s="248">
        <f>1+1+3</f>
        <v>5</v>
      </c>
      <c r="Q13" s="248">
        <f>4+5</f>
        <v>9</v>
      </c>
      <c r="R13" s="248">
        <v>11</v>
      </c>
      <c r="S13" s="248">
        <v>50</v>
      </c>
      <c r="T13" s="248">
        <v>1</v>
      </c>
      <c r="U13" s="248">
        <v>8</v>
      </c>
      <c r="V13" s="248">
        <f>2+10+7</f>
        <v>19</v>
      </c>
      <c r="W13" s="248">
        <f>5+5</f>
        <v>10</v>
      </c>
      <c r="X13" s="248">
        <v>18</v>
      </c>
      <c r="Y13" s="248"/>
      <c r="Z13" s="248"/>
      <c r="AA13" s="248">
        <f>2+9+11+1</f>
        <v>23</v>
      </c>
      <c r="AB13" s="248">
        <f>4+8</f>
        <v>12</v>
      </c>
      <c r="AC13" s="248">
        <v>1</v>
      </c>
      <c r="AD13" s="248">
        <f>1+1+6+2</f>
        <v>10</v>
      </c>
      <c r="AE13" s="248">
        <f>2+1</f>
        <v>3</v>
      </c>
      <c r="AF13" s="248">
        <f>1+2</f>
        <v>3</v>
      </c>
      <c r="AG13" s="248">
        <f>1+1</f>
        <v>2</v>
      </c>
      <c r="AH13" s="248">
        <v>5</v>
      </c>
      <c r="AI13" s="248"/>
      <c r="AJ13" s="248"/>
      <c r="AK13" s="248"/>
      <c r="AL13" s="248">
        <v>1</v>
      </c>
      <c r="AM13" s="248"/>
      <c r="AN13" s="248"/>
      <c r="AO13" s="248"/>
      <c r="AP13" s="248"/>
      <c r="AQ13" s="248">
        <f t="shared" si="0"/>
        <v>267</v>
      </c>
    </row>
    <row r="14" spans="1:96" s="180" customFormat="1" x14ac:dyDescent="0.45">
      <c r="A14" s="90" t="s">
        <v>680</v>
      </c>
      <c r="B14" s="249"/>
      <c r="C14" s="248"/>
      <c r="D14" s="248"/>
      <c r="E14" s="248"/>
      <c r="F14" s="248"/>
      <c r="G14" s="248">
        <v>24</v>
      </c>
      <c r="H14" s="248"/>
      <c r="I14" s="248"/>
      <c r="J14" s="248"/>
      <c r="K14" s="248"/>
      <c r="L14" s="248">
        <v>8</v>
      </c>
      <c r="M14" s="248"/>
      <c r="N14" s="248"/>
      <c r="O14" s="248"/>
      <c r="P14" s="248"/>
      <c r="Q14" s="248"/>
      <c r="R14" s="248"/>
      <c r="S14" s="248"/>
      <c r="T14" s="248"/>
      <c r="U14" s="248"/>
      <c r="V14" s="248"/>
      <c r="W14" s="248"/>
      <c r="X14" s="248"/>
      <c r="Y14" s="248"/>
      <c r="Z14" s="248"/>
      <c r="AA14" s="248"/>
      <c r="AB14" s="248"/>
      <c r="AC14" s="248"/>
      <c r="AD14" s="248"/>
      <c r="AE14" s="248"/>
      <c r="AF14" s="248">
        <v>2</v>
      </c>
      <c r="AG14" s="248"/>
      <c r="AH14" s="248"/>
      <c r="AI14" s="248"/>
      <c r="AJ14" s="248"/>
      <c r="AK14" s="248"/>
      <c r="AL14" s="248"/>
      <c r="AM14" s="248"/>
      <c r="AN14" s="248"/>
      <c r="AO14" s="248"/>
      <c r="AP14" s="248"/>
      <c r="AQ14" s="248">
        <f t="shared" si="0"/>
        <v>34</v>
      </c>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row>
    <row r="15" spans="1:96" x14ac:dyDescent="0.45">
      <c r="A15" s="161" t="s">
        <v>43</v>
      </c>
      <c r="B15" s="256"/>
      <c r="C15" s="248"/>
      <c r="D15" s="248"/>
      <c r="E15" s="248"/>
      <c r="F15" s="248"/>
      <c r="G15" s="248"/>
      <c r="H15" s="248">
        <v>3</v>
      </c>
      <c r="I15" s="248"/>
      <c r="J15" s="248"/>
      <c r="K15" s="248">
        <v>2</v>
      </c>
      <c r="L15" s="248">
        <v>2</v>
      </c>
      <c r="M15" s="248"/>
      <c r="N15" s="248"/>
      <c r="O15" s="248"/>
      <c r="P15" s="248"/>
      <c r="Q15" s="248">
        <v>3</v>
      </c>
      <c r="R15" s="248"/>
      <c r="S15" s="248"/>
      <c r="T15" s="248">
        <v>1</v>
      </c>
      <c r="U15" s="248"/>
      <c r="V15" s="248"/>
      <c r="W15" s="248"/>
      <c r="X15" s="248"/>
      <c r="Y15" s="248"/>
      <c r="Z15" s="248"/>
      <c r="AA15" s="248">
        <f>3+1</f>
        <v>4</v>
      </c>
      <c r="AB15" s="248">
        <f>2+1</f>
        <v>3</v>
      </c>
      <c r="AC15" s="248"/>
      <c r="AD15" s="248">
        <f>1+2</f>
        <v>3</v>
      </c>
      <c r="AE15" s="248">
        <f>3+3</f>
        <v>6</v>
      </c>
      <c r="AF15" s="248">
        <v>4</v>
      </c>
      <c r="AG15" s="248"/>
      <c r="AH15" s="248"/>
      <c r="AI15" s="248">
        <v>2</v>
      </c>
      <c r="AJ15" s="248"/>
      <c r="AK15" s="248">
        <f>4+1+2</f>
        <v>7</v>
      </c>
      <c r="AL15" s="248"/>
      <c r="AM15" s="248">
        <f>1+2</f>
        <v>3</v>
      </c>
      <c r="AN15" s="248"/>
      <c r="AO15" s="248"/>
      <c r="AP15" s="248">
        <v>4</v>
      </c>
      <c r="AQ15" s="248">
        <f t="shared" si="0"/>
        <v>47</v>
      </c>
    </row>
    <row r="16" spans="1:96" x14ac:dyDescent="0.45">
      <c r="A16" s="96" t="s">
        <v>3</v>
      </c>
      <c r="B16" s="255"/>
      <c r="C16" s="248">
        <v>1</v>
      </c>
      <c r="D16" s="248"/>
      <c r="E16" s="248"/>
      <c r="F16" s="248">
        <v>6</v>
      </c>
      <c r="G16" s="248">
        <f>22+15</f>
        <v>37</v>
      </c>
      <c r="H16" s="248">
        <f>11+9+2+2</f>
        <v>24</v>
      </c>
      <c r="I16" s="248"/>
      <c r="J16" s="248"/>
      <c r="K16" s="248">
        <f>25+1+1</f>
        <v>27</v>
      </c>
      <c r="L16" s="248">
        <f>17+9+13+10</f>
        <v>49</v>
      </c>
      <c r="M16" s="248">
        <f>4+1</f>
        <v>5</v>
      </c>
      <c r="N16" s="248">
        <f>7</f>
        <v>7</v>
      </c>
      <c r="O16" s="248">
        <f>1+1+1</f>
        <v>3</v>
      </c>
      <c r="P16" s="248">
        <f>8+1</f>
        <v>9</v>
      </c>
      <c r="Q16" s="248">
        <f>5+3+1+2+6+1</f>
        <v>18</v>
      </c>
      <c r="R16" s="248">
        <f>2+3</f>
        <v>5</v>
      </c>
      <c r="S16" s="248">
        <v>5</v>
      </c>
      <c r="T16" s="248">
        <v>1</v>
      </c>
      <c r="U16" s="248">
        <v>3</v>
      </c>
      <c r="V16" s="248">
        <f>2+1</f>
        <v>3</v>
      </c>
      <c r="W16" s="248">
        <f>2+3</f>
        <v>5</v>
      </c>
      <c r="X16" s="248">
        <f>6+1+1</f>
        <v>8</v>
      </c>
      <c r="Y16" s="248">
        <v>2</v>
      </c>
      <c r="Z16" s="248">
        <v>1</v>
      </c>
      <c r="AA16" s="248">
        <f>5+3+1+6</f>
        <v>15</v>
      </c>
      <c r="AB16" s="248">
        <f>3+2</f>
        <v>5</v>
      </c>
      <c r="AC16" s="248">
        <f>1+2+1</f>
        <v>4</v>
      </c>
      <c r="AD16" s="248">
        <f>5+1+2+4</f>
        <v>12</v>
      </c>
      <c r="AE16" s="248">
        <f>2+2</f>
        <v>4</v>
      </c>
      <c r="AF16" s="248">
        <f>2+1+2</f>
        <v>5</v>
      </c>
      <c r="AG16" s="248">
        <f>3+2</f>
        <v>5</v>
      </c>
      <c r="AH16" s="248">
        <v>3</v>
      </c>
      <c r="AI16" s="248">
        <v>1</v>
      </c>
      <c r="AJ16" s="248"/>
      <c r="AK16" s="248">
        <f>1+1</f>
        <v>2</v>
      </c>
      <c r="AL16" s="248">
        <v>1</v>
      </c>
      <c r="AM16" s="248"/>
      <c r="AN16" s="248">
        <v>2</v>
      </c>
      <c r="AO16" s="248">
        <v>2</v>
      </c>
      <c r="AP16" s="248">
        <v>2</v>
      </c>
      <c r="AQ16" s="248">
        <f t="shared" si="0"/>
        <v>282</v>
      </c>
    </row>
    <row r="17" spans="1:77" x14ac:dyDescent="0.45">
      <c r="A17" s="96" t="s">
        <v>4</v>
      </c>
      <c r="B17" s="255"/>
      <c r="C17" s="248"/>
      <c r="D17" s="248"/>
      <c r="E17" s="248"/>
      <c r="F17" s="248"/>
      <c r="G17" s="248"/>
      <c r="H17" s="248"/>
      <c r="I17" s="248"/>
      <c r="J17" s="248"/>
      <c r="K17" s="248"/>
      <c r="L17" s="248">
        <v>1</v>
      </c>
      <c r="M17" s="248"/>
      <c r="N17" s="248"/>
      <c r="O17" s="248"/>
      <c r="P17" s="248">
        <f>2+1</f>
        <v>3</v>
      </c>
      <c r="Q17" s="248"/>
      <c r="R17" s="248"/>
      <c r="S17" s="248"/>
      <c r="T17" s="248"/>
      <c r="U17" s="248"/>
      <c r="V17" s="248"/>
      <c r="W17" s="248"/>
      <c r="X17" s="248">
        <v>1</v>
      </c>
      <c r="Y17" s="248"/>
      <c r="Z17" s="248"/>
      <c r="AA17" s="248">
        <f>2+2</f>
        <v>4</v>
      </c>
      <c r="AB17" s="248"/>
      <c r="AC17" s="248">
        <v>1</v>
      </c>
      <c r="AD17" s="248">
        <f>1+5</f>
        <v>6</v>
      </c>
      <c r="AE17" s="248">
        <f>2+2</f>
        <v>4</v>
      </c>
      <c r="AF17" s="248">
        <v>4</v>
      </c>
      <c r="AG17" s="248">
        <v>1</v>
      </c>
      <c r="AH17" s="248">
        <v>3</v>
      </c>
      <c r="AI17" s="248">
        <v>1</v>
      </c>
      <c r="AJ17" s="248"/>
      <c r="AK17" s="248"/>
      <c r="AL17" s="248"/>
      <c r="AM17" s="248"/>
      <c r="AN17" s="248"/>
      <c r="AO17" s="248"/>
      <c r="AP17" s="248"/>
      <c r="AQ17" s="248">
        <f t="shared" si="0"/>
        <v>29</v>
      </c>
    </row>
    <row r="18" spans="1:77" x14ac:dyDescent="0.45">
      <c r="A18" s="90" t="s">
        <v>182</v>
      </c>
      <c r="B18" s="249"/>
      <c r="C18" s="248"/>
      <c r="D18" s="248"/>
      <c r="E18" s="248"/>
      <c r="F18" s="248"/>
      <c r="G18" s="248"/>
      <c r="H18" s="248"/>
      <c r="I18" s="248"/>
      <c r="J18" s="248"/>
      <c r="K18" s="248"/>
      <c r="L18" s="248"/>
      <c r="M18" s="248"/>
      <c r="N18" s="248"/>
      <c r="O18" s="248"/>
      <c r="P18" s="248"/>
      <c r="Q18" s="248"/>
      <c r="R18" s="248"/>
      <c r="S18" s="248"/>
      <c r="T18" s="248"/>
      <c r="U18" s="248"/>
      <c r="V18" s="248">
        <v>2</v>
      </c>
      <c r="W18" s="248"/>
      <c r="X18" s="248"/>
      <c r="Y18" s="248"/>
      <c r="Z18" s="248">
        <v>4</v>
      </c>
      <c r="AA18" s="248"/>
      <c r="AB18" s="248"/>
      <c r="AC18" s="248">
        <f>2+4</f>
        <v>6</v>
      </c>
      <c r="AD18" s="248">
        <v>3</v>
      </c>
      <c r="AE18" s="248">
        <v>1</v>
      </c>
      <c r="AF18" s="248"/>
      <c r="AG18" s="248"/>
      <c r="AH18" s="248"/>
      <c r="AI18" s="248">
        <v>1</v>
      </c>
      <c r="AJ18" s="248"/>
      <c r="AK18" s="248"/>
      <c r="AL18" s="248"/>
      <c r="AM18" s="248"/>
      <c r="AN18" s="248"/>
      <c r="AO18" s="248"/>
      <c r="AP18" s="248"/>
      <c r="AQ18" s="248">
        <f t="shared" si="0"/>
        <v>17</v>
      </c>
    </row>
    <row r="19" spans="1:77" x14ac:dyDescent="0.45">
      <c r="A19" s="96" t="s">
        <v>6</v>
      </c>
      <c r="B19" s="255"/>
      <c r="C19" s="248"/>
      <c r="D19" s="248"/>
      <c r="E19" s="86"/>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v>2</v>
      </c>
      <c r="AG19" s="248"/>
      <c r="AH19" s="248"/>
      <c r="AI19" s="248"/>
      <c r="AJ19" s="248"/>
      <c r="AK19" s="248">
        <v>1</v>
      </c>
      <c r="AL19" s="248"/>
      <c r="AM19" s="248">
        <v>1</v>
      </c>
      <c r="AN19" s="248">
        <v>1</v>
      </c>
      <c r="AO19" s="248"/>
      <c r="AP19" s="248"/>
      <c r="AQ19" s="248">
        <f t="shared" si="0"/>
        <v>5</v>
      </c>
    </row>
    <row r="20" spans="1:77" x14ac:dyDescent="0.45">
      <c r="A20" s="96" t="s">
        <v>7</v>
      </c>
      <c r="B20" s="255"/>
      <c r="C20" s="248"/>
      <c r="D20" s="248"/>
      <c r="E20" s="86"/>
      <c r="F20" s="248"/>
      <c r="G20" s="248"/>
      <c r="H20" s="248"/>
      <c r="I20" s="248"/>
      <c r="J20" s="248"/>
      <c r="K20" s="248"/>
      <c r="L20" s="248"/>
      <c r="M20" s="248"/>
      <c r="N20" s="248"/>
      <c r="O20" s="248"/>
      <c r="P20" s="248"/>
      <c r="Q20" s="248">
        <v>4</v>
      </c>
      <c r="R20" s="248">
        <v>2</v>
      </c>
      <c r="S20" s="248">
        <v>2</v>
      </c>
      <c r="T20" s="248"/>
      <c r="U20" s="248"/>
      <c r="V20" s="248">
        <v>17</v>
      </c>
      <c r="W20" s="248">
        <v>5</v>
      </c>
      <c r="X20" s="248">
        <v>4</v>
      </c>
      <c r="Y20" s="248">
        <v>4</v>
      </c>
      <c r="Z20" s="248"/>
      <c r="AA20" s="248">
        <v>13</v>
      </c>
      <c r="AB20" s="248">
        <v>25</v>
      </c>
      <c r="AC20" s="248"/>
      <c r="AD20" s="248">
        <v>1</v>
      </c>
      <c r="AE20" s="248">
        <v>3</v>
      </c>
      <c r="AF20" s="248">
        <v>15</v>
      </c>
      <c r="AG20" s="248">
        <v>2</v>
      </c>
      <c r="AH20" s="248"/>
      <c r="AI20" s="248">
        <v>4</v>
      </c>
      <c r="AJ20" s="248"/>
      <c r="AK20" s="248"/>
      <c r="AL20" s="248"/>
      <c r="AM20" s="248"/>
      <c r="AN20" s="248">
        <v>1</v>
      </c>
      <c r="AO20" s="248"/>
      <c r="AP20" s="248"/>
      <c r="AQ20" s="248">
        <f t="shared" si="0"/>
        <v>102</v>
      </c>
      <c r="AR20" s="126"/>
    </row>
    <row r="21" spans="1:77" x14ac:dyDescent="0.45">
      <c r="A21" s="161" t="s">
        <v>51</v>
      </c>
      <c r="B21" s="256"/>
      <c r="C21" s="248"/>
      <c r="D21" s="248"/>
      <c r="E21" s="248"/>
      <c r="F21" s="248"/>
      <c r="G21" s="248"/>
      <c r="H21" s="248"/>
      <c r="I21" s="248"/>
      <c r="J21" s="248"/>
      <c r="K21" s="248"/>
      <c r="L21" s="248"/>
      <c r="M21" s="248"/>
      <c r="N21" s="248"/>
      <c r="O21" s="248"/>
      <c r="P21" s="248"/>
      <c r="Q21" s="248"/>
      <c r="R21" s="248"/>
      <c r="S21" s="248"/>
      <c r="T21" s="248">
        <v>1</v>
      </c>
      <c r="U21" s="248"/>
      <c r="V21" s="248"/>
      <c r="W21" s="248"/>
      <c r="X21" s="248"/>
      <c r="Y21" s="248"/>
      <c r="Z21" s="248"/>
      <c r="AA21" s="248"/>
      <c r="AB21" s="248"/>
      <c r="AC21" s="248"/>
      <c r="AD21" s="248">
        <v>1</v>
      </c>
      <c r="AE21" s="248"/>
      <c r="AF21" s="248"/>
      <c r="AG21" s="248"/>
      <c r="AH21" s="248"/>
      <c r="AI21" s="248"/>
      <c r="AJ21" s="248"/>
      <c r="AK21" s="248">
        <v>1</v>
      </c>
      <c r="AL21" s="248"/>
      <c r="AM21" s="248"/>
      <c r="AN21" s="248"/>
      <c r="AO21" s="248"/>
      <c r="AP21" s="248"/>
      <c r="AQ21" s="248">
        <f t="shared" ref="AQ21:AQ35" si="1">SUM(B21:AP21)</f>
        <v>3</v>
      </c>
      <c r="AR21" s="126"/>
    </row>
    <row r="22" spans="1:77" x14ac:dyDescent="0.45">
      <c r="A22" s="161" t="s">
        <v>42</v>
      </c>
      <c r="B22" s="256"/>
      <c r="C22" s="248"/>
      <c r="D22" s="248"/>
      <c r="E22" s="248"/>
      <c r="F22" s="248"/>
      <c r="G22" s="248"/>
      <c r="H22" s="248"/>
      <c r="I22" s="248"/>
      <c r="J22" s="248"/>
      <c r="K22" s="248"/>
      <c r="L22" s="248"/>
      <c r="M22" s="248"/>
      <c r="N22" s="248"/>
      <c r="O22" s="248"/>
      <c r="P22" s="248"/>
      <c r="Q22" s="248"/>
      <c r="R22" s="248"/>
      <c r="S22" s="248">
        <v>1</v>
      </c>
      <c r="T22" s="248"/>
      <c r="U22" s="248"/>
      <c r="V22" s="248">
        <v>1</v>
      </c>
      <c r="X22" s="248"/>
      <c r="Y22" s="248">
        <v>3</v>
      </c>
      <c r="Z22" s="248"/>
      <c r="AA22" s="248">
        <v>3</v>
      </c>
      <c r="AB22" s="248"/>
      <c r="AC22" s="248">
        <v>1</v>
      </c>
      <c r="AD22" s="248">
        <v>1</v>
      </c>
      <c r="AE22" s="248"/>
      <c r="AF22" s="248"/>
      <c r="AG22" s="248"/>
      <c r="AH22" s="248"/>
      <c r="AI22" s="248"/>
      <c r="AJ22" s="248"/>
      <c r="AK22" s="248"/>
      <c r="AL22" s="248"/>
      <c r="AM22" s="248"/>
      <c r="AN22" s="248"/>
      <c r="AO22" s="248"/>
      <c r="AP22" s="248"/>
      <c r="AQ22" s="248">
        <f t="shared" si="1"/>
        <v>10</v>
      </c>
      <c r="AR22" s="126"/>
    </row>
    <row r="23" spans="1:77" x14ac:dyDescent="0.45">
      <c r="A23" s="96" t="s">
        <v>8</v>
      </c>
      <c r="B23" s="255"/>
      <c r="C23" s="248"/>
      <c r="D23" s="248"/>
      <c r="E23" s="248"/>
      <c r="F23" s="248"/>
      <c r="G23" s="248"/>
      <c r="H23" s="248"/>
      <c r="I23" s="248"/>
      <c r="J23" s="248"/>
      <c r="K23" s="248"/>
      <c r="L23" s="248"/>
      <c r="M23" s="248"/>
      <c r="N23" s="248"/>
      <c r="O23" s="248"/>
      <c r="P23" s="248"/>
      <c r="Q23" s="248"/>
      <c r="R23" s="248"/>
      <c r="S23" s="248"/>
      <c r="T23" s="248"/>
      <c r="U23" s="248"/>
      <c r="V23" s="248"/>
      <c r="W23" s="248">
        <v>1</v>
      </c>
      <c r="X23" s="248"/>
      <c r="Y23" s="248"/>
      <c r="Z23" s="248"/>
      <c r="AA23" s="248">
        <f>1+2</f>
        <v>3</v>
      </c>
      <c r="AB23" s="248">
        <f>4+1</f>
        <v>5</v>
      </c>
      <c r="AC23" s="248">
        <v>1</v>
      </c>
      <c r="AD23" s="248">
        <v>13</v>
      </c>
      <c r="AE23" s="248">
        <f>5+1</f>
        <v>6</v>
      </c>
      <c r="AF23" s="248">
        <f>13+3+2</f>
        <v>18</v>
      </c>
      <c r="AG23" s="248"/>
      <c r="AH23" s="248">
        <v>2</v>
      </c>
      <c r="AI23" s="248"/>
      <c r="AJ23" s="248"/>
      <c r="AK23" s="248">
        <v>7</v>
      </c>
      <c r="AL23" s="248"/>
      <c r="AM23" s="248">
        <v>4</v>
      </c>
      <c r="AN23" s="248"/>
      <c r="AO23" s="248"/>
      <c r="AP23" s="248"/>
      <c r="AQ23" s="248">
        <f t="shared" si="1"/>
        <v>60</v>
      </c>
      <c r="AR23" s="126"/>
    </row>
    <row r="24" spans="1:77" x14ac:dyDescent="0.45">
      <c r="A24" s="96" t="s">
        <v>9</v>
      </c>
      <c r="B24" s="255"/>
      <c r="C24" s="248"/>
      <c r="D24" s="248"/>
      <c r="E24" s="248"/>
      <c r="F24" s="248"/>
      <c r="G24" s="248"/>
      <c r="H24" s="248"/>
      <c r="I24" s="248"/>
      <c r="J24" s="248"/>
      <c r="K24" s="248"/>
      <c r="L24" s="248"/>
      <c r="M24" s="248"/>
      <c r="N24" s="248"/>
      <c r="O24" s="248"/>
      <c r="P24" s="248"/>
      <c r="Q24" s="248">
        <f>17+19</f>
        <v>36</v>
      </c>
      <c r="R24" s="248"/>
      <c r="S24" s="248">
        <v>5</v>
      </c>
      <c r="T24" s="248">
        <v>1</v>
      </c>
      <c r="U24" s="248">
        <v>7</v>
      </c>
      <c r="V24" s="248">
        <f>25+20+21</f>
        <v>66</v>
      </c>
      <c r="W24" s="248"/>
      <c r="X24" s="248"/>
      <c r="Y24" s="248">
        <v>7</v>
      </c>
      <c r="Z24" s="248"/>
      <c r="AA24" s="248">
        <f>150+44+300+20</f>
        <v>514</v>
      </c>
      <c r="AB24" s="248">
        <f>2+12+1+3</f>
        <v>18</v>
      </c>
      <c r="AC24" s="248">
        <v>100</v>
      </c>
      <c r="AD24" s="248">
        <f>120+215</f>
        <v>335</v>
      </c>
      <c r="AE24" s="248">
        <v>350</v>
      </c>
      <c r="AF24" s="248">
        <f>3+300</f>
        <v>303</v>
      </c>
      <c r="AG24" s="248"/>
      <c r="AH24" s="248"/>
      <c r="AI24" s="248"/>
      <c r="AJ24" s="248"/>
      <c r="AK24" s="248">
        <f>45+48+13</f>
        <v>106</v>
      </c>
      <c r="AL24" s="248"/>
      <c r="AM24" s="248"/>
      <c r="AN24" s="248"/>
      <c r="AO24" s="248"/>
      <c r="AP24" s="248"/>
      <c r="AQ24" s="248">
        <f t="shared" si="1"/>
        <v>1848</v>
      </c>
      <c r="AR24" s="126"/>
    </row>
    <row r="25" spans="1:77" x14ac:dyDescent="0.45">
      <c r="A25" s="161" t="s">
        <v>44</v>
      </c>
      <c r="B25" s="256"/>
      <c r="C25" s="248"/>
      <c r="D25" s="248"/>
      <c r="E25" s="248"/>
      <c r="F25" s="248"/>
      <c r="G25" s="248"/>
      <c r="H25" s="248"/>
      <c r="I25" s="248"/>
      <c r="J25" s="248"/>
      <c r="K25" s="248"/>
      <c r="L25" s="248">
        <f>1+1</f>
        <v>2</v>
      </c>
      <c r="M25" s="248"/>
      <c r="N25" s="248"/>
      <c r="O25" s="248"/>
      <c r="P25" s="248"/>
      <c r="Q25" s="248"/>
      <c r="R25" s="248"/>
      <c r="S25" s="248"/>
      <c r="T25" s="248"/>
      <c r="U25" s="248"/>
      <c r="V25" s="248"/>
      <c r="W25" s="248"/>
      <c r="X25" s="248"/>
      <c r="Y25" s="248"/>
      <c r="Z25" s="248"/>
      <c r="AA25" s="248">
        <v>1</v>
      </c>
      <c r="AB25" s="248"/>
      <c r="AC25" s="248"/>
      <c r="AD25" s="248">
        <v>6</v>
      </c>
      <c r="AE25" s="248"/>
      <c r="AF25" s="248"/>
      <c r="AG25" s="248"/>
      <c r="AH25" s="248"/>
      <c r="AI25" s="248"/>
      <c r="AJ25" s="248"/>
      <c r="AK25" s="248"/>
      <c r="AL25" s="248"/>
      <c r="AM25" s="248"/>
      <c r="AN25" s="248"/>
      <c r="AO25" s="248"/>
      <c r="AP25" s="248">
        <v>2</v>
      </c>
      <c r="AQ25" s="248">
        <f t="shared" si="1"/>
        <v>11</v>
      </c>
      <c r="AR25" s="126"/>
    </row>
    <row r="26" spans="1:77" x14ac:dyDescent="0.45">
      <c r="A26" s="96" t="s">
        <v>10</v>
      </c>
      <c r="B26" s="255"/>
      <c r="C26" s="248"/>
      <c r="D26" s="248"/>
      <c r="E26" s="248"/>
      <c r="F26" s="248"/>
      <c r="G26" s="248"/>
      <c r="H26" s="248"/>
      <c r="I26" s="248"/>
      <c r="J26" s="248"/>
      <c r="K26" s="248"/>
      <c r="L26" s="248"/>
      <c r="M26" s="248"/>
      <c r="N26" s="248"/>
      <c r="O26" s="248"/>
      <c r="P26" s="248"/>
      <c r="Q26" s="248"/>
      <c r="R26" s="248"/>
      <c r="S26" s="248">
        <f>5+1</f>
        <v>6</v>
      </c>
      <c r="T26" s="248"/>
      <c r="U26" s="248"/>
      <c r="V26" s="248">
        <v>1</v>
      </c>
      <c r="W26" s="248"/>
      <c r="X26" s="248"/>
      <c r="Y26" s="248">
        <v>16</v>
      </c>
      <c r="Z26" s="248"/>
      <c r="AA26" s="248">
        <f>11+4</f>
        <v>15</v>
      </c>
      <c r="AB26" s="248">
        <f>2+2+1+4</f>
        <v>9</v>
      </c>
      <c r="AC26" s="248">
        <v>5</v>
      </c>
      <c r="AD26" s="248">
        <f>3+3+2+12+30</f>
        <v>50</v>
      </c>
      <c r="AE26" s="248">
        <f>1+2</f>
        <v>3</v>
      </c>
      <c r="AF26" s="248">
        <v>2</v>
      </c>
      <c r="AG26" s="248"/>
      <c r="AH26" s="248"/>
      <c r="AI26" s="248"/>
      <c r="AJ26" s="248"/>
      <c r="AK26" s="248">
        <f>1+3</f>
        <v>4</v>
      </c>
      <c r="AL26" s="248"/>
      <c r="AM26" s="248"/>
      <c r="AN26" s="248"/>
      <c r="AO26" s="248"/>
      <c r="AP26" s="248"/>
      <c r="AQ26" s="248">
        <f t="shared" si="1"/>
        <v>111</v>
      </c>
      <c r="AR26" s="126"/>
    </row>
    <row r="27" spans="1:77" x14ac:dyDescent="0.45">
      <c r="A27" s="96" t="s">
        <v>11</v>
      </c>
      <c r="B27" s="255"/>
      <c r="C27" s="248"/>
      <c r="D27" s="248"/>
      <c r="E27" s="248"/>
      <c r="F27" s="248"/>
      <c r="G27" s="248"/>
      <c r="H27" s="248"/>
      <c r="I27" s="248"/>
      <c r="J27" s="248"/>
      <c r="K27" s="248"/>
      <c r="L27" s="248"/>
      <c r="M27" s="248"/>
      <c r="N27" s="248"/>
      <c r="O27" s="248"/>
      <c r="P27" s="248"/>
      <c r="Q27" s="248"/>
      <c r="R27" s="248"/>
      <c r="S27" s="248">
        <v>12</v>
      </c>
      <c r="T27" s="248"/>
      <c r="U27" s="248"/>
      <c r="V27" s="248">
        <f>250+93</f>
        <v>343</v>
      </c>
      <c r="W27" s="86">
        <v>23</v>
      </c>
      <c r="X27" s="248">
        <f>15+3</f>
        <v>18</v>
      </c>
      <c r="Y27" s="248"/>
      <c r="Z27" s="248"/>
      <c r="AA27" s="248">
        <f>500+1032+56+18+35</f>
        <v>1641</v>
      </c>
      <c r="AB27" s="248">
        <f>250+25</f>
        <v>275</v>
      </c>
      <c r="AC27" s="248">
        <f>2+4+100+1+70+16</f>
        <v>193</v>
      </c>
      <c r="AD27" s="248">
        <f>35+400+3000+2000+400</f>
        <v>5835</v>
      </c>
      <c r="AE27" s="248">
        <f>600+800+1750+500+9+200+163</f>
        <v>4022</v>
      </c>
      <c r="AF27" s="248">
        <f>150+180+101+200+60</f>
        <v>691</v>
      </c>
      <c r="AG27" s="248">
        <f>18+200+40</f>
        <v>258</v>
      </c>
      <c r="AH27" s="248">
        <v>20</v>
      </c>
      <c r="AI27" s="248">
        <f>500+350+45</f>
        <v>895</v>
      </c>
      <c r="AJ27" s="248">
        <v>45</v>
      </c>
      <c r="AK27" s="248">
        <f>217+83+20</f>
        <v>320</v>
      </c>
      <c r="AL27" s="248">
        <v>1</v>
      </c>
      <c r="AM27" s="248"/>
      <c r="AN27" s="248">
        <v>3</v>
      </c>
      <c r="AO27" s="248"/>
      <c r="AP27" s="248">
        <f>18+3</f>
        <v>21</v>
      </c>
      <c r="AQ27" s="248">
        <f t="shared" si="1"/>
        <v>14616</v>
      </c>
      <c r="AR27" s="126"/>
    </row>
    <row r="28" spans="1:77" x14ac:dyDescent="0.45">
      <c r="A28" s="96" t="s">
        <v>12</v>
      </c>
      <c r="B28" s="255"/>
      <c r="C28" s="248"/>
      <c r="D28" s="248"/>
      <c r="E28" s="248"/>
      <c r="F28" s="248"/>
      <c r="G28" s="248"/>
      <c r="H28" s="248"/>
      <c r="I28" s="248"/>
      <c r="J28" s="248"/>
      <c r="K28" s="248"/>
      <c r="L28" s="248"/>
      <c r="M28" s="248"/>
      <c r="N28" s="248"/>
      <c r="O28" s="248"/>
      <c r="P28" s="248"/>
      <c r="Q28" s="248"/>
      <c r="R28" s="248"/>
      <c r="S28" s="248">
        <f>4+1</f>
        <v>5</v>
      </c>
      <c r="T28" s="248"/>
      <c r="U28" s="248"/>
      <c r="V28" s="248">
        <f>8+16</f>
        <v>24</v>
      </c>
      <c r="W28" s="248">
        <v>8</v>
      </c>
      <c r="X28" s="248">
        <v>30</v>
      </c>
      <c r="Y28" s="248"/>
      <c r="Z28" s="248"/>
      <c r="AA28" s="248">
        <f>1+16+1+7</f>
        <v>25</v>
      </c>
      <c r="AB28" s="248">
        <f>17+4</f>
        <v>21</v>
      </c>
      <c r="AC28" s="248">
        <f>9+12</f>
        <v>21</v>
      </c>
      <c r="AD28" s="248">
        <f>25+4+18+4+45</f>
        <v>96</v>
      </c>
      <c r="AE28" s="248">
        <f>25+1</f>
        <v>26</v>
      </c>
      <c r="AF28" s="248">
        <f>1+11+2+1+2</f>
        <v>17</v>
      </c>
      <c r="AG28" s="248">
        <f>20+15</f>
        <v>35</v>
      </c>
      <c r="AH28" s="248">
        <v>17</v>
      </c>
      <c r="AI28" s="248">
        <v>10</v>
      </c>
      <c r="AJ28" s="248"/>
      <c r="AK28" s="248">
        <f>3+5</f>
        <v>8</v>
      </c>
      <c r="AL28" s="248"/>
      <c r="AM28" s="248"/>
      <c r="AN28" s="248">
        <v>2</v>
      </c>
      <c r="AO28" s="248"/>
      <c r="AP28" s="248">
        <v>1</v>
      </c>
      <c r="AQ28" s="248">
        <f t="shared" si="1"/>
        <v>346</v>
      </c>
      <c r="AR28" s="126"/>
    </row>
    <row r="29" spans="1:77" x14ac:dyDescent="0.45">
      <c r="A29" s="161" t="s">
        <v>32</v>
      </c>
      <c r="B29" s="256"/>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v>3</v>
      </c>
      <c r="AB29" s="248"/>
      <c r="AC29" s="248">
        <v>1</v>
      </c>
      <c r="AD29" s="248">
        <f>10+2+2</f>
        <v>14</v>
      </c>
      <c r="AE29" s="248"/>
      <c r="AF29" s="248"/>
      <c r="AG29" s="248"/>
      <c r="AH29" s="248">
        <v>2</v>
      </c>
      <c r="AI29" s="248">
        <v>5</v>
      </c>
      <c r="AJ29" s="248"/>
      <c r="AK29" s="248"/>
      <c r="AL29" s="248"/>
      <c r="AM29" s="248"/>
      <c r="AN29" s="248"/>
      <c r="AO29" s="248"/>
      <c r="AP29" s="248">
        <v>6</v>
      </c>
      <c r="AQ29" s="248">
        <f t="shared" si="1"/>
        <v>31</v>
      </c>
      <c r="AR29" s="126"/>
    </row>
    <row r="30" spans="1:77" x14ac:dyDescent="0.45">
      <c r="A30" s="252" t="s">
        <v>190</v>
      </c>
      <c r="B30" s="249"/>
      <c r="C30" s="248"/>
      <c r="D30" s="248"/>
      <c r="E30" s="248"/>
      <c r="F30" s="248"/>
      <c r="G30" s="248"/>
      <c r="H30" s="248"/>
      <c r="I30" s="248"/>
      <c r="J30" s="248"/>
      <c r="K30" s="248"/>
      <c r="L30" s="248"/>
      <c r="M30" s="248"/>
      <c r="N30" s="248"/>
      <c r="O30" s="248"/>
      <c r="P30" s="248"/>
      <c r="Q30" s="248"/>
      <c r="R30" s="248"/>
      <c r="S30" s="248"/>
      <c r="T30" s="248"/>
      <c r="U30" s="248">
        <v>12</v>
      </c>
      <c r="V30" s="248">
        <v>70</v>
      </c>
      <c r="W30" s="248">
        <v>75</v>
      </c>
      <c r="X30" s="248">
        <v>1</v>
      </c>
      <c r="Y30" s="248">
        <v>4</v>
      </c>
      <c r="Z30" s="248"/>
      <c r="AA30" s="248">
        <f>330+5+30+50+31+12+1</f>
        <v>459</v>
      </c>
      <c r="AB30" s="248">
        <f>30+30+22</f>
        <v>82</v>
      </c>
      <c r="AC30" s="248">
        <f>40+100+40+9</f>
        <v>189</v>
      </c>
      <c r="AD30" s="248">
        <f>3+3+2000+500</f>
        <v>2506</v>
      </c>
      <c r="AE30" s="248">
        <v>67</v>
      </c>
      <c r="AF30" s="248">
        <v>334</v>
      </c>
      <c r="AG30" s="248">
        <v>16</v>
      </c>
      <c r="AH30" s="248">
        <v>15</v>
      </c>
      <c r="AI30" s="248">
        <v>6</v>
      </c>
      <c r="AJ30" s="248"/>
      <c r="AK30" s="248">
        <f>70+36</f>
        <v>106</v>
      </c>
      <c r="AL30" s="248"/>
      <c r="AM30" s="248"/>
      <c r="AN30" s="248"/>
      <c r="AO30" s="248"/>
      <c r="AP30" s="248">
        <f>2+1</f>
        <v>3</v>
      </c>
      <c r="AQ30" s="248">
        <f t="shared" si="1"/>
        <v>3945</v>
      </c>
      <c r="AR30" s="126"/>
    </row>
    <row r="31" spans="1:77" s="180" customFormat="1" x14ac:dyDescent="0.45">
      <c r="A31" s="90" t="s">
        <v>218</v>
      </c>
      <c r="B31" s="249"/>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v>78</v>
      </c>
      <c r="AB31" s="248"/>
      <c r="AC31" s="248"/>
      <c r="AD31" s="248"/>
      <c r="AE31" s="248"/>
      <c r="AF31" s="248"/>
      <c r="AG31" s="248">
        <v>800</v>
      </c>
      <c r="AH31" s="248"/>
      <c r="AI31" s="248"/>
      <c r="AJ31" s="248"/>
      <c r="AK31" s="248"/>
      <c r="AL31" s="248"/>
      <c r="AM31" s="248"/>
      <c r="AN31" s="248"/>
      <c r="AO31" s="248"/>
      <c r="AP31" s="248"/>
      <c r="AQ31" s="248">
        <f t="shared" si="1"/>
        <v>878</v>
      </c>
      <c r="AR31" s="126"/>
      <c r="AS31"/>
      <c r="AT31"/>
      <c r="AU31"/>
      <c r="AV31"/>
      <c r="AW31"/>
      <c r="AX31"/>
      <c r="AY31"/>
      <c r="AZ31"/>
      <c r="BA31"/>
      <c r="BB31"/>
      <c r="BC31"/>
      <c r="BD31"/>
      <c r="BE31"/>
      <c r="BF31"/>
      <c r="BG31"/>
      <c r="BH31"/>
      <c r="BI31"/>
      <c r="BJ31"/>
      <c r="BK31"/>
      <c r="BL31"/>
      <c r="BM31"/>
      <c r="BN31"/>
      <c r="BO31"/>
      <c r="BP31"/>
      <c r="BQ31"/>
      <c r="BR31"/>
      <c r="BS31"/>
      <c r="BT31"/>
      <c r="BU31"/>
      <c r="BV31"/>
      <c r="BW31"/>
      <c r="BX31"/>
      <c r="BY31"/>
    </row>
    <row r="32" spans="1:77" x14ac:dyDescent="0.45">
      <c r="A32" s="252" t="s">
        <v>46</v>
      </c>
      <c r="B32" s="249"/>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v>1</v>
      </c>
      <c r="AL32" s="248"/>
      <c r="AM32" s="248"/>
      <c r="AN32" s="248"/>
      <c r="AO32" s="248"/>
      <c r="AP32" s="248"/>
      <c r="AQ32" s="248">
        <f t="shared" si="1"/>
        <v>1</v>
      </c>
      <c r="AR32" s="126"/>
    </row>
    <row r="33" spans="1:78" x14ac:dyDescent="0.45">
      <c r="A33" s="96" t="s">
        <v>13</v>
      </c>
      <c r="B33" s="255"/>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f>2+6</f>
        <v>8</v>
      </c>
      <c r="AD33" s="248">
        <f>2+1</f>
        <v>3</v>
      </c>
      <c r="AE33" s="248">
        <v>3</v>
      </c>
      <c r="AF33" s="248">
        <v>3</v>
      </c>
      <c r="AG33" s="248">
        <v>5</v>
      </c>
      <c r="AH33" s="248"/>
      <c r="AI33" s="248">
        <v>10</v>
      </c>
      <c r="AJ33" s="248"/>
      <c r="AK33" s="248">
        <f>38+2</f>
        <v>40</v>
      </c>
      <c r="AL33" s="248"/>
      <c r="AM33" s="248"/>
      <c r="AN33" s="248"/>
      <c r="AO33" s="248"/>
      <c r="AP33" s="248"/>
      <c r="AQ33" s="248">
        <f t="shared" si="1"/>
        <v>72</v>
      </c>
      <c r="AR33" s="126"/>
    </row>
    <row r="34" spans="1:78" x14ac:dyDescent="0.45">
      <c r="A34" s="96" t="s">
        <v>14</v>
      </c>
      <c r="B34" s="255"/>
      <c r="C34" s="248"/>
      <c r="D34" s="248"/>
      <c r="E34" s="248"/>
      <c r="F34" s="248"/>
      <c r="G34" s="248"/>
      <c r="H34" s="248"/>
      <c r="I34" s="248"/>
      <c r="J34" s="248"/>
      <c r="K34" s="248"/>
      <c r="L34" s="248"/>
      <c r="M34" s="248"/>
      <c r="N34" s="248"/>
      <c r="O34" s="248"/>
      <c r="P34" s="248"/>
      <c r="Q34" s="248"/>
      <c r="R34" s="248">
        <v>5</v>
      </c>
      <c r="S34" s="248">
        <v>13</v>
      </c>
      <c r="T34" s="248"/>
      <c r="U34" s="248">
        <v>2</v>
      </c>
      <c r="V34" s="248">
        <f>130+76</f>
        <v>206</v>
      </c>
      <c r="W34" s="248">
        <f>10+3+12</f>
        <v>25</v>
      </c>
      <c r="X34" s="248">
        <v>8</v>
      </c>
      <c r="Y34" s="248"/>
      <c r="Z34" s="248"/>
      <c r="AA34" s="248">
        <f>56+200+1</f>
        <v>257</v>
      </c>
      <c r="AB34" s="248">
        <f>6+10+23</f>
        <v>39</v>
      </c>
      <c r="AC34" s="248">
        <f>8+15+10</f>
        <v>33</v>
      </c>
      <c r="AD34" s="248">
        <f>3+25+27+600+63+11+5</f>
        <v>734</v>
      </c>
      <c r="AE34" s="248">
        <f>100+250+28+1+6+17</f>
        <v>402</v>
      </c>
      <c r="AF34" s="248">
        <f>10+45+50+1</f>
        <v>106</v>
      </c>
      <c r="AG34" s="248">
        <f>15+13+5+10</f>
        <v>43</v>
      </c>
      <c r="AH34" s="248"/>
      <c r="AI34" s="248">
        <f>100+50</f>
        <v>150</v>
      </c>
      <c r="AJ34" s="248"/>
      <c r="AK34" s="248">
        <f>10+18</f>
        <v>28</v>
      </c>
      <c r="AL34" s="248">
        <v>1</v>
      </c>
      <c r="AM34" s="248"/>
      <c r="AN34" s="248">
        <v>1</v>
      </c>
      <c r="AO34" s="248"/>
      <c r="AP34" s="248"/>
      <c r="AQ34" s="248">
        <f t="shared" si="1"/>
        <v>2053</v>
      </c>
      <c r="AR34" s="126"/>
    </row>
    <row r="35" spans="1:78" x14ac:dyDescent="0.45">
      <c r="A35" s="161" t="s">
        <v>40</v>
      </c>
      <c r="B35" s="256">
        <v>1</v>
      </c>
      <c r="C35" s="248"/>
      <c r="D35" s="248"/>
      <c r="E35" s="248"/>
      <c r="F35" s="248"/>
      <c r="G35" s="248"/>
      <c r="H35" s="248"/>
      <c r="I35" s="248"/>
      <c r="J35" s="248"/>
      <c r="K35" s="248"/>
      <c r="L35" s="248">
        <v>1</v>
      </c>
      <c r="M35" s="248"/>
      <c r="N35" s="248"/>
      <c r="O35" s="248"/>
      <c r="P35" s="248">
        <v>1</v>
      </c>
      <c r="Q35" s="248"/>
      <c r="R35" s="248"/>
      <c r="S35" s="248"/>
      <c r="T35" s="248"/>
      <c r="U35" s="248"/>
      <c r="V35" s="248"/>
      <c r="W35" s="248"/>
      <c r="X35" s="248"/>
      <c r="Y35" s="248"/>
      <c r="Z35" s="248"/>
      <c r="AA35" s="248"/>
      <c r="AB35" s="248"/>
      <c r="AC35" s="248">
        <v>1</v>
      </c>
      <c r="AD35" s="248">
        <f>2+1</f>
        <v>3</v>
      </c>
      <c r="AE35" s="248"/>
      <c r="AF35" s="248"/>
      <c r="AG35" s="248"/>
      <c r="AH35" s="248"/>
      <c r="AI35" s="248"/>
      <c r="AJ35" s="248"/>
      <c r="AK35" s="248">
        <v>1</v>
      </c>
      <c r="AL35" s="248"/>
      <c r="AM35" s="248"/>
      <c r="AN35" s="248"/>
      <c r="AO35" s="248"/>
      <c r="AP35" s="248"/>
      <c r="AQ35" s="248">
        <f t="shared" si="1"/>
        <v>8</v>
      </c>
      <c r="AR35" s="126"/>
    </row>
    <row r="36" spans="1:78" x14ac:dyDescent="0.45">
      <c r="A36" s="96" t="s">
        <v>15</v>
      </c>
      <c r="B36" s="255"/>
      <c r="C36" s="248"/>
      <c r="D36" s="248"/>
      <c r="E36" s="248"/>
      <c r="F36" s="248"/>
      <c r="G36" s="248"/>
      <c r="H36" s="248"/>
      <c r="I36" s="248"/>
      <c r="J36" s="248"/>
      <c r="K36" s="248"/>
      <c r="L36" s="248"/>
      <c r="M36" s="248"/>
      <c r="N36" s="248"/>
      <c r="O36" s="248">
        <v>1</v>
      </c>
      <c r="P36" s="248">
        <v>1</v>
      </c>
      <c r="Q36" s="248"/>
      <c r="R36" s="248"/>
      <c r="S36" s="248">
        <v>15</v>
      </c>
      <c r="T36" s="248"/>
      <c r="U36" s="248">
        <v>2</v>
      </c>
      <c r="V36" s="248"/>
      <c r="W36" s="248">
        <f>2+10</f>
        <v>12</v>
      </c>
      <c r="X36" s="248">
        <v>6</v>
      </c>
      <c r="Y36" s="248">
        <v>1</v>
      </c>
      <c r="Z36" s="248"/>
      <c r="AA36" s="248">
        <f>5+10+1</f>
        <v>16</v>
      </c>
      <c r="AB36" s="248">
        <v>10</v>
      </c>
      <c r="AC36" s="248">
        <v>11</v>
      </c>
      <c r="AD36" s="248">
        <f>15+13+24+42+63</f>
        <v>157</v>
      </c>
      <c r="AE36" s="248">
        <f>25+5</f>
        <v>30</v>
      </c>
      <c r="AF36" s="248">
        <v>23</v>
      </c>
      <c r="AG36" s="248">
        <f>11+1</f>
        <v>12</v>
      </c>
      <c r="AH36" s="248">
        <v>8</v>
      </c>
      <c r="AI36" s="248"/>
      <c r="AJ36" s="248"/>
      <c r="AK36" s="248"/>
      <c r="AL36" s="248"/>
      <c r="AM36" s="248">
        <v>10</v>
      </c>
      <c r="AN36" s="248"/>
      <c r="AO36" s="248">
        <v>2</v>
      </c>
      <c r="AP36" s="248"/>
      <c r="AQ36" s="248">
        <f>SUM(B36:AP36)</f>
        <v>317</v>
      </c>
      <c r="AR36" s="126"/>
    </row>
    <row r="37" spans="1:78" x14ac:dyDescent="0.45">
      <c r="A37" s="161" t="s">
        <v>54</v>
      </c>
      <c r="B37" s="256"/>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f>1+1</f>
        <v>2</v>
      </c>
      <c r="AB37" s="248">
        <v>2</v>
      </c>
      <c r="AC37" s="248">
        <f>7+9</f>
        <v>16</v>
      </c>
      <c r="AD37" s="248">
        <f>25+20+11+7</f>
        <v>63</v>
      </c>
      <c r="AE37" s="248">
        <f>4+5+4</f>
        <v>13</v>
      </c>
      <c r="AF37" s="248"/>
      <c r="AG37" s="248"/>
      <c r="AH37" s="248"/>
      <c r="AI37" s="248">
        <v>5</v>
      </c>
      <c r="AJ37" s="248"/>
      <c r="AK37" s="248"/>
      <c r="AL37" s="248">
        <v>1</v>
      </c>
      <c r="AM37" s="248"/>
      <c r="AN37" s="248"/>
      <c r="AO37" s="248"/>
      <c r="AP37" s="248">
        <v>1</v>
      </c>
      <c r="AQ37" s="248">
        <f>SUM(B37:AP37)</f>
        <v>103</v>
      </c>
      <c r="AR37" s="126"/>
    </row>
    <row r="38" spans="1:78" x14ac:dyDescent="0.45">
      <c r="A38" s="90" t="s">
        <v>183</v>
      </c>
      <c r="B38" s="249"/>
      <c r="C38" s="248"/>
      <c r="D38" s="248"/>
      <c r="E38" s="248"/>
      <c r="F38" s="248"/>
      <c r="G38" s="248"/>
      <c r="H38" s="248"/>
      <c r="I38" s="248"/>
      <c r="J38" s="248"/>
      <c r="K38" s="248"/>
      <c r="L38" s="248"/>
      <c r="M38" s="248"/>
      <c r="N38" s="248"/>
      <c r="O38" s="248"/>
      <c r="P38" s="248"/>
      <c r="Q38" s="248"/>
      <c r="R38" s="248"/>
      <c r="S38" s="248"/>
      <c r="T38" s="248"/>
      <c r="U38" s="248"/>
      <c r="V38" s="248">
        <f>17+16</f>
        <v>33</v>
      </c>
      <c r="W38" s="248"/>
      <c r="X38" s="248"/>
      <c r="Y38" s="248"/>
      <c r="Z38" s="248">
        <v>3</v>
      </c>
      <c r="AA38" s="248">
        <f>32+21+5</f>
        <v>58</v>
      </c>
      <c r="AB38" s="248">
        <v>1</v>
      </c>
      <c r="AC38" s="248">
        <f>10+10</f>
        <v>20</v>
      </c>
      <c r="AD38" s="248">
        <f>40+45+40</f>
        <v>125</v>
      </c>
      <c r="AE38" s="248">
        <f>14+45+1+8</f>
        <v>68</v>
      </c>
      <c r="AF38" s="248">
        <f>29+28+11</f>
        <v>68</v>
      </c>
      <c r="AG38" s="248"/>
      <c r="AH38" s="248"/>
      <c r="AI38" s="248">
        <f>20+12</f>
        <v>32</v>
      </c>
      <c r="AJ38" s="248"/>
      <c r="AK38" s="248">
        <f>10+12</f>
        <v>22</v>
      </c>
      <c r="AL38" s="248"/>
      <c r="AM38" s="248"/>
      <c r="AN38" s="248"/>
      <c r="AO38" s="248">
        <v>2</v>
      </c>
      <c r="AP38" s="248">
        <v>3</v>
      </c>
      <c r="AQ38" s="248">
        <f>SUM(B38:AP38)</f>
        <v>435</v>
      </c>
      <c r="AR38" s="126"/>
    </row>
    <row r="39" spans="1:78" x14ac:dyDescent="0.45">
      <c r="A39" s="96" t="s">
        <v>16</v>
      </c>
      <c r="B39" s="255">
        <v>1</v>
      </c>
      <c r="C39" s="248">
        <v>1</v>
      </c>
      <c r="D39" s="248"/>
      <c r="E39" s="248"/>
      <c r="F39" s="248"/>
      <c r="G39" s="248">
        <v>1</v>
      </c>
      <c r="H39" s="248"/>
      <c r="I39" s="248"/>
      <c r="J39" s="248"/>
      <c r="K39" s="249"/>
      <c r="L39" s="248">
        <v>1</v>
      </c>
      <c r="M39" s="248"/>
      <c r="N39" s="248"/>
      <c r="O39" s="248"/>
      <c r="P39" s="248">
        <v>1</v>
      </c>
      <c r="Q39" s="248"/>
      <c r="R39" s="248">
        <v>1</v>
      </c>
      <c r="S39" s="248">
        <v>2</v>
      </c>
      <c r="T39" s="248"/>
      <c r="U39" s="248"/>
      <c r="V39" s="248"/>
      <c r="W39" s="248"/>
      <c r="X39" s="248">
        <f>1+2+2+1</f>
        <v>6</v>
      </c>
      <c r="Y39" s="248">
        <f>2+1</f>
        <v>3</v>
      </c>
      <c r="Z39" s="248"/>
      <c r="AA39" s="248">
        <f>1+1</f>
        <v>2</v>
      </c>
      <c r="AB39" s="248">
        <v>1</v>
      </c>
      <c r="AC39" s="248">
        <v>1</v>
      </c>
      <c r="AD39" s="248">
        <f>2+1+2+1+2</f>
        <v>8</v>
      </c>
      <c r="AE39" s="248">
        <f>5+1+1</f>
        <v>7</v>
      </c>
      <c r="AF39" s="248">
        <f>2+1+2+2</f>
        <v>7</v>
      </c>
      <c r="AG39" s="248">
        <f>2+1</f>
        <v>3</v>
      </c>
      <c r="AH39" s="248">
        <f>4+1+1</f>
        <v>6</v>
      </c>
      <c r="AI39" s="248">
        <f>1+1</f>
        <v>2</v>
      </c>
      <c r="AJ39" s="248"/>
      <c r="AK39" s="248">
        <f>2+1+6+1</f>
        <v>10</v>
      </c>
      <c r="AL39" s="248">
        <v>1</v>
      </c>
      <c r="AM39" s="248">
        <v>3</v>
      </c>
      <c r="AN39" s="248">
        <v>1</v>
      </c>
      <c r="AO39" s="248"/>
      <c r="AP39" s="248">
        <v>1</v>
      </c>
      <c r="AQ39" s="248">
        <f>SUM(B39:AP39)</f>
        <v>70</v>
      </c>
      <c r="AR39" s="126"/>
    </row>
    <row r="40" spans="1:78" x14ac:dyDescent="0.45">
      <c r="A40" s="96" t="s">
        <v>17</v>
      </c>
      <c r="B40" s="255"/>
      <c r="C40" s="249"/>
      <c r="D40" s="248"/>
      <c r="E40" s="248"/>
      <c r="F40" s="249"/>
      <c r="G40" s="249"/>
      <c r="H40" s="249"/>
      <c r="I40" s="249"/>
      <c r="J40" s="249"/>
      <c r="K40" s="249"/>
      <c r="L40" s="249"/>
      <c r="M40" s="248"/>
      <c r="N40" s="248"/>
      <c r="O40" s="248"/>
      <c r="P40" s="248"/>
      <c r="Q40" s="248"/>
      <c r="R40" s="248"/>
      <c r="S40" s="248"/>
      <c r="T40" s="248"/>
      <c r="U40" s="248"/>
      <c r="V40" s="248"/>
      <c r="W40" s="248"/>
      <c r="X40" s="248"/>
      <c r="Y40" s="248"/>
      <c r="Z40" s="248">
        <v>8</v>
      </c>
      <c r="AA40" s="248">
        <f>1000+375</f>
        <v>1375</v>
      </c>
      <c r="AB40" s="248">
        <f>60+1+20</f>
        <v>81</v>
      </c>
      <c r="AC40" s="248">
        <v>65</v>
      </c>
      <c r="AD40" s="248">
        <f>2+4+30+12+150</f>
        <v>198</v>
      </c>
      <c r="AE40" s="248">
        <f>2+45+10</f>
        <v>57</v>
      </c>
      <c r="AF40" s="248">
        <v>10</v>
      </c>
      <c r="AG40" s="248"/>
      <c r="AH40" s="248"/>
      <c r="AI40" s="248"/>
      <c r="AJ40" s="248"/>
      <c r="AK40" s="248">
        <f>12+500</f>
        <v>512</v>
      </c>
      <c r="AL40" s="248">
        <v>20</v>
      </c>
      <c r="AM40" s="248">
        <v>25</v>
      </c>
      <c r="AN40" s="248">
        <v>1</v>
      </c>
      <c r="AO40" s="248"/>
      <c r="AP40" s="248">
        <f>1000+1</f>
        <v>1001</v>
      </c>
      <c r="AQ40" s="248">
        <f>SUM(B40:AP40)</f>
        <v>3353</v>
      </c>
      <c r="AR40" s="126"/>
    </row>
    <row r="41" spans="1:78" x14ac:dyDescent="0.45">
      <c r="A41" s="214" t="s">
        <v>191</v>
      </c>
      <c r="B41" s="222">
        <f>SUM(B10:B40)</f>
        <v>3</v>
      </c>
      <c r="C41" s="250">
        <f>SUM(C10:C40)</f>
        <v>2</v>
      </c>
      <c r="D41" s="250">
        <f t="shared" ref="D41:AQ41" si="2">SUM(D10:D40)</f>
        <v>0</v>
      </c>
      <c r="E41" s="250">
        <f t="shared" si="2"/>
        <v>0</v>
      </c>
      <c r="F41" s="250">
        <f t="shared" si="2"/>
        <v>6</v>
      </c>
      <c r="G41" s="250">
        <f t="shared" si="2"/>
        <v>87</v>
      </c>
      <c r="H41" s="250">
        <f t="shared" si="2"/>
        <v>54</v>
      </c>
      <c r="I41" s="250">
        <f t="shared" si="2"/>
        <v>0</v>
      </c>
      <c r="J41" s="250">
        <f t="shared" si="2"/>
        <v>0</v>
      </c>
      <c r="K41" s="250">
        <f>SUM(K10:K40)</f>
        <v>32</v>
      </c>
      <c r="L41" s="250">
        <f t="shared" si="2"/>
        <v>90</v>
      </c>
      <c r="M41" s="250">
        <f t="shared" si="2"/>
        <v>5</v>
      </c>
      <c r="N41" s="250">
        <f t="shared" si="2"/>
        <v>7</v>
      </c>
      <c r="O41" s="250">
        <f t="shared" si="2"/>
        <v>4</v>
      </c>
      <c r="P41" s="250">
        <f t="shared" si="2"/>
        <v>25</v>
      </c>
      <c r="Q41" s="250">
        <f t="shared" si="2"/>
        <v>70</v>
      </c>
      <c r="R41" s="250">
        <f t="shared" si="2"/>
        <v>24</v>
      </c>
      <c r="S41" s="250">
        <f t="shared" si="2"/>
        <v>121</v>
      </c>
      <c r="T41" s="250">
        <f t="shared" si="2"/>
        <v>5</v>
      </c>
      <c r="U41" s="250">
        <f t="shared" si="2"/>
        <v>38</v>
      </c>
      <c r="V41" s="250">
        <f t="shared" si="2"/>
        <v>794</v>
      </c>
      <c r="W41" s="250">
        <f t="shared" si="2"/>
        <v>167</v>
      </c>
      <c r="X41" s="250">
        <f t="shared" si="2"/>
        <v>102</v>
      </c>
      <c r="Y41" s="250">
        <f t="shared" si="2"/>
        <v>40</v>
      </c>
      <c r="Z41" s="250">
        <f t="shared" si="2"/>
        <v>16</v>
      </c>
      <c r="AA41" s="250">
        <f t="shared" si="2"/>
        <v>4541</v>
      </c>
      <c r="AB41" s="250">
        <f t="shared" si="2"/>
        <v>604</v>
      </c>
      <c r="AC41" s="250">
        <f t="shared" si="2"/>
        <v>688</v>
      </c>
      <c r="AD41" s="250">
        <f t="shared" si="2"/>
        <v>10251</v>
      </c>
      <c r="AE41" s="250">
        <f t="shared" si="2"/>
        <v>5089</v>
      </c>
      <c r="AF41" s="250">
        <f t="shared" si="2"/>
        <v>1686</v>
      </c>
      <c r="AG41" s="250">
        <f t="shared" si="2"/>
        <v>1207</v>
      </c>
      <c r="AH41" s="250">
        <f t="shared" si="2"/>
        <v>81</v>
      </c>
      <c r="AI41" s="250">
        <f t="shared" si="2"/>
        <v>1150</v>
      </c>
      <c r="AJ41" s="250">
        <f t="shared" si="2"/>
        <v>45</v>
      </c>
      <c r="AK41" s="250">
        <f t="shared" si="2"/>
        <v>1262</v>
      </c>
      <c r="AL41" s="250">
        <f t="shared" si="2"/>
        <v>27</v>
      </c>
      <c r="AM41" s="250">
        <f t="shared" si="2"/>
        <v>52</v>
      </c>
      <c r="AN41" s="250">
        <f t="shared" si="2"/>
        <v>15</v>
      </c>
      <c r="AO41" s="250">
        <f t="shared" si="2"/>
        <v>6</v>
      </c>
      <c r="AP41" s="250">
        <f t="shared" si="2"/>
        <v>1078</v>
      </c>
      <c r="AQ41" s="250">
        <f t="shared" si="2"/>
        <v>29474</v>
      </c>
    </row>
    <row r="42" spans="1:78" x14ac:dyDescent="0.45">
      <c r="A42" s="180"/>
      <c r="B42"/>
      <c r="AR42" s="126"/>
    </row>
    <row r="43" spans="1:78" s="180" customFormat="1" x14ac:dyDescent="0.45">
      <c r="AR43" s="126"/>
      <c r="AS43"/>
      <c r="AT43"/>
      <c r="AU43"/>
      <c r="AV43"/>
      <c r="AW43"/>
      <c r="AX43"/>
      <c r="AY43"/>
      <c r="AZ43"/>
      <c r="BA43"/>
      <c r="BB43"/>
      <c r="BC43"/>
      <c r="BD43"/>
      <c r="BE43"/>
      <c r="BF43"/>
      <c r="BG43"/>
      <c r="BH43"/>
      <c r="BI43"/>
      <c r="BJ43"/>
      <c r="BK43"/>
      <c r="BL43"/>
      <c r="BM43"/>
      <c r="BN43"/>
      <c r="BO43"/>
      <c r="BP43"/>
      <c r="BQ43"/>
      <c r="BR43"/>
      <c r="BS43"/>
      <c r="BT43"/>
      <c r="BU43"/>
      <c r="BV43"/>
      <c r="BW43"/>
      <c r="BX43"/>
      <c r="BY43"/>
      <c r="BZ43"/>
    </row>
    <row r="44" spans="1:78" x14ac:dyDescent="0.45">
      <c r="A44" s="180"/>
      <c r="C44" s="180"/>
      <c r="D44" s="180"/>
      <c r="E44" s="180"/>
      <c r="F44" s="180"/>
      <c r="G44" s="1"/>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26"/>
    </row>
    <row r="45" spans="1:78" x14ac:dyDescent="0.45">
      <c r="A45" s="26" t="s">
        <v>220</v>
      </c>
      <c r="B45" s="253">
        <v>43568</v>
      </c>
      <c r="C45" s="253">
        <v>43569</v>
      </c>
      <c r="D45" s="253">
        <v>43570</v>
      </c>
      <c r="E45" s="253">
        <v>43571</v>
      </c>
      <c r="F45" s="253">
        <v>43572</v>
      </c>
      <c r="G45" s="253">
        <v>43573</v>
      </c>
      <c r="H45" s="253">
        <v>43574</v>
      </c>
      <c r="I45" s="253">
        <v>43575</v>
      </c>
      <c r="J45" s="253">
        <v>43576</v>
      </c>
      <c r="K45" s="253">
        <v>43577</v>
      </c>
      <c r="L45" s="253">
        <v>43578</v>
      </c>
      <c r="M45" s="253">
        <v>43579</v>
      </c>
      <c r="N45" s="253">
        <v>43580</v>
      </c>
      <c r="O45" s="253">
        <v>43581</v>
      </c>
      <c r="P45" s="253">
        <v>43582</v>
      </c>
      <c r="Q45" s="253">
        <v>43583</v>
      </c>
      <c r="R45" s="253">
        <v>43584</v>
      </c>
      <c r="S45" s="253">
        <v>43585</v>
      </c>
      <c r="T45" s="253">
        <v>43586</v>
      </c>
      <c r="U45" s="253">
        <v>43587</v>
      </c>
      <c r="V45" s="253">
        <v>43588</v>
      </c>
      <c r="W45" s="253">
        <v>43589</v>
      </c>
      <c r="X45" s="253">
        <v>43590</v>
      </c>
      <c r="Y45" s="253">
        <v>43591</v>
      </c>
      <c r="Z45" s="253">
        <v>43592</v>
      </c>
      <c r="AA45" s="253">
        <v>43593</v>
      </c>
      <c r="AB45" s="253">
        <v>43594</v>
      </c>
      <c r="AC45" s="253">
        <v>43595</v>
      </c>
      <c r="AD45" s="253">
        <v>43596</v>
      </c>
      <c r="AE45" s="253">
        <v>43597</v>
      </c>
      <c r="AF45" s="253">
        <v>43598</v>
      </c>
      <c r="AG45" s="253">
        <v>43599</v>
      </c>
      <c r="AH45" s="253">
        <v>43600</v>
      </c>
      <c r="AI45" s="253">
        <v>43601</v>
      </c>
      <c r="AJ45" s="253">
        <v>43602</v>
      </c>
      <c r="AK45" s="253">
        <v>43603</v>
      </c>
      <c r="AL45" s="253">
        <v>43604</v>
      </c>
      <c r="AM45" s="253">
        <v>43605</v>
      </c>
      <c r="AN45" s="253">
        <v>43606</v>
      </c>
      <c r="AO45" s="253">
        <v>43607</v>
      </c>
      <c r="AP45" s="253">
        <v>43608</v>
      </c>
      <c r="AQ45" s="191" t="s">
        <v>24</v>
      </c>
      <c r="AR45" s="126"/>
    </row>
    <row r="46" spans="1:78" x14ac:dyDescent="0.45">
      <c r="A46" s="258" t="s">
        <v>189</v>
      </c>
      <c r="B46" s="130">
        <v>3</v>
      </c>
      <c r="C46" s="86">
        <v>2</v>
      </c>
      <c r="D46" s="86">
        <v>0</v>
      </c>
      <c r="E46" s="86">
        <v>0</v>
      </c>
      <c r="F46" s="86">
        <v>6</v>
      </c>
      <c r="G46" s="86">
        <v>87</v>
      </c>
      <c r="H46" s="86">
        <v>54</v>
      </c>
      <c r="I46" s="86">
        <v>0</v>
      </c>
      <c r="J46" s="86">
        <v>0</v>
      </c>
      <c r="K46" s="86">
        <v>32</v>
      </c>
      <c r="L46" s="86">
        <v>90</v>
      </c>
      <c r="M46" s="86">
        <v>5</v>
      </c>
      <c r="N46" s="86">
        <v>7</v>
      </c>
      <c r="O46" s="86">
        <v>4</v>
      </c>
      <c r="P46" s="86">
        <v>25</v>
      </c>
      <c r="Q46" s="86">
        <v>70</v>
      </c>
      <c r="R46" s="86">
        <v>24</v>
      </c>
      <c r="S46" s="86">
        <v>121</v>
      </c>
      <c r="T46" s="86">
        <v>5</v>
      </c>
      <c r="U46" s="86">
        <v>38</v>
      </c>
      <c r="V46" s="86">
        <v>794</v>
      </c>
      <c r="W46" s="86">
        <v>167</v>
      </c>
      <c r="X46" s="86">
        <v>102</v>
      </c>
      <c r="Y46" s="86">
        <v>40</v>
      </c>
      <c r="Z46" s="86">
        <v>16</v>
      </c>
      <c r="AA46" s="86">
        <v>4541</v>
      </c>
      <c r="AB46">
        <v>604</v>
      </c>
      <c r="AC46">
        <v>688</v>
      </c>
      <c r="AD46" s="86">
        <v>10251</v>
      </c>
      <c r="AE46" s="86">
        <v>5089</v>
      </c>
      <c r="AF46" s="86">
        <v>1686</v>
      </c>
      <c r="AG46" s="86">
        <v>1207</v>
      </c>
      <c r="AH46" s="86">
        <v>81</v>
      </c>
      <c r="AI46" s="86">
        <v>1150</v>
      </c>
      <c r="AJ46" s="86">
        <v>45</v>
      </c>
      <c r="AK46" s="86">
        <v>1262</v>
      </c>
      <c r="AL46" s="86">
        <v>27</v>
      </c>
      <c r="AM46" s="86">
        <v>52</v>
      </c>
      <c r="AN46" s="86">
        <v>15</v>
      </c>
      <c r="AO46" s="86">
        <v>6</v>
      </c>
      <c r="AP46" s="86">
        <v>1078</v>
      </c>
      <c r="AQ46" s="17">
        <f>SUM(B46:AP46)</f>
        <v>29474</v>
      </c>
      <c r="AR46" s="247"/>
    </row>
    <row r="47" spans="1:78" x14ac:dyDescent="0.45">
      <c r="A47" s="90" t="s">
        <v>221</v>
      </c>
      <c r="B47" s="17">
        <f>SUM(B48:B49)</f>
        <v>2</v>
      </c>
      <c r="C47" s="86">
        <f t="shared" ref="C47:AP47" si="3">SUM(C48:C49)</f>
        <v>0</v>
      </c>
      <c r="D47" s="86">
        <f t="shared" si="3"/>
        <v>0</v>
      </c>
      <c r="E47" s="86">
        <f t="shared" si="3"/>
        <v>0</v>
      </c>
      <c r="F47" s="86">
        <f t="shared" si="3"/>
        <v>0</v>
      </c>
      <c r="G47" s="86">
        <f t="shared" si="3"/>
        <v>40</v>
      </c>
      <c r="H47" s="86">
        <f t="shared" si="3"/>
        <v>0</v>
      </c>
      <c r="I47" s="86">
        <f t="shared" si="3"/>
        <v>0</v>
      </c>
      <c r="J47" s="86">
        <f t="shared" si="3"/>
        <v>0</v>
      </c>
      <c r="K47" s="86">
        <f t="shared" si="3"/>
        <v>0</v>
      </c>
      <c r="L47" s="86">
        <f t="shared" si="3"/>
        <v>89</v>
      </c>
      <c r="M47" s="86">
        <f t="shared" si="3"/>
        <v>0</v>
      </c>
      <c r="N47" s="86">
        <f t="shared" si="3"/>
        <v>0</v>
      </c>
      <c r="O47" s="86">
        <f t="shared" si="3"/>
        <v>0</v>
      </c>
      <c r="P47" s="86">
        <f t="shared" si="3"/>
        <v>0</v>
      </c>
      <c r="Q47" s="86">
        <f t="shared" si="3"/>
        <v>66</v>
      </c>
      <c r="R47" s="86">
        <f t="shared" si="3"/>
        <v>0</v>
      </c>
      <c r="S47" s="86">
        <f t="shared" si="3"/>
        <v>0</v>
      </c>
      <c r="T47" s="86">
        <f t="shared" si="3"/>
        <v>0</v>
      </c>
      <c r="U47" s="86">
        <f t="shared" si="3"/>
        <v>0</v>
      </c>
      <c r="V47" s="86">
        <f t="shared" si="3"/>
        <v>770</v>
      </c>
      <c r="W47" s="86">
        <f t="shared" si="3"/>
        <v>0</v>
      </c>
      <c r="X47" s="86">
        <f t="shared" si="3"/>
        <v>0</v>
      </c>
      <c r="Y47" s="86">
        <f t="shared" si="3"/>
        <v>0</v>
      </c>
      <c r="Z47" s="86">
        <f t="shared" si="3"/>
        <v>0</v>
      </c>
      <c r="AA47" s="86">
        <f t="shared" si="3"/>
        <v>3846</v>
      </c>
      <c r="AB47" s="86">
        <f t="shared" si="3"/>
        <v>0</v>
      </c>
      <c r="AC47" s="86">
        <f t="shared" si="3"/>
        <v>0</v>
      </c>
      <c r="AD47" s="86">
        <f t="shared" si="3"/>
        <v>0</v>
      </c>
      <c r="AE47" s="86">
        <f t="shared" si="3"/>
        <v>0</v>
      </c>
      <c r="AF47" s="86">
        <f t="shared" si="3"/>
        <v>1601</v>
      </c>
      <c r="AG47" s="86">
        <f t="shared" si="3"/>
        <v>0</v>
      </c>
      <c r="AH47" s="86">
        <f t="shared" si="3"/>
        <v>0</v>
      </c>
      <c r="AI47" s="86">
        <f t="shared" si="3"/>
        <v>0</v>
      </c>
      <c r="AJ47" s="86">
        <f t="shared" si="3"/>
        <v>0</v>
      </c>
      <c r="AK47" s="86">
        <f t="shared" si="3"/>
        <v>1252</v>
      </c>
      <c r="AL47" s="86">
        <f t="shared" si="3"/>
        <v>0</v>
      </c>
      <c r="AM47" s="86">
        <f t="shared" si="3"/>
        <v>0</v>
      </c>
      <c r="AN47" s="86">
        <f t="shared" si="3"/>
        <v>0</v>
      </c>
      <c r="AO47" s="86">
        <f t="shared" si="3"/>
        <v>0</v>
      </c>
      <c r="AP47" s="86">
        <f t="shared" si="3"/>
        <v>1077</v>
      </c>
      <c r="AQ47" s="86">
        <f t="shared" ref="AQ47:AQ49" si="4">SUM(B47:AP47)</f>
        <v>8743</v>
      </c>
      <c r="AR47" s="257">
        <f>AQ47/AQ46</f>
        <v>0.29663432177512383</v>
      </c>
    </row>
    <row r="48" spans="1:78" x14ac:dyDescent="0.45">
      <c r="A48" s="167" t="s">
        <v>682</v>
      </c>
      <c r="B48" s="86">
        <v>2</v>
      </c>
      <c r="C48" s="86"/>
      <c r="D48" s="86"/>
      <c r="E48" s="86"/>
      <c r="F48" s="86"/>
      <c r="G48" s="86">
        <v>40</v>
      </c>
      <c r="H48" s="86"/>
      <c r="I48" s="86"/>
      <c r="J48" s="86"/>
      <c r="K48" s="86"/>
      <c r="L48" s="86">
        <v>89</v>
      </c>
      <c r="M48" s="86"/>
      <c r="N48" s="86"/>
      <c r="O48" s="86"/>
      <c r="P48" s="86"/>
      <c r="Q48" s="86">
        <v>65</v>
      </c>
      <c r="R48" s="86"/>
      <c r="S48" s="86"/>
      <c r="T48" s="86"/>
      <c r="U48" s="86"/>
      <c r="V48" s="86">
        <v>769</v>
      </c>
      <c r="W48" s="86"/>
      <c r="X48" s="86"/>
      <c r="Y48" s="86"/>
      <c r="Z48" s="86"/>
      <c r="AA48" s="86">
        <v>3809</v>
      </c>
      <c r="AB48" s="86"/>
      <c r="AC48" s="86"/>
      <c r="AD48" s="86"/>
      <c r="AE48" s="86"/>
      <c r="AF48" s="86">
        <v>1521</v>
      </c>
      <c r="AG48" s="86"/>
      <c r="AH48" s="86"/>
      <c r="AI48" s="86"/>
      <c r="AJ48" s="86"/>
      <c r="AK48" s="86">
        <v>1251</v>
      </c>
      <c r="AL48" s="86"/>
      <c r="AM48" s="86"/>
      <c r="AN48" s="86"/>
      <c r="AO48" s="86"/>
      <c r="AP48" s="86">
        <v>1077</v>
      </c>
      <c r="AQ48" s="86">
        <f t="shared" si="4"/>
        <v>8623</v>
      </c>
      <c r="AR48" s="126"/>
    </row>
    <row r="49" spans="1:44" x14ac:dyDescent="0.45">
      <c r="A49" s="167" t="s">
        <v>683</v>
      </c>
      <c r="B49" s="86">
        <v>0</v>
      </c>
      <c r="C49" s="86"/>
      <c r="D49" s="86"/>
      <c r="E49" s="86"/>
      <c r="F49" s="86"/>
      <c r="G49" s="86">
        <v>0</v>
      </c>
      <c r="H49" s="86"/>
      <c r="I49" s="86"/>
      <c r="J49" s="86"/>
      <c r="K49" s="86"/>
      <c r="L49" s="86">
        <v>0</v>
      </c>
      <c r="M49" s="86"/>
      <c r="N49" s="86"/>
      <c r="O49" s="86"/>
      <c r="P49" s="86"/>
      <c r="Q49" s="86">
        <v>1</v>
      </c>
      <c r="R49" s="86"/>
      <c r="S49" s="86"/>
      <c r="T49" s="86"/>
      <c r="U49" s="86"/>
      <c r="V49" s="86">
        <v>1</v>
      </c>
      <c r="W49" s="86"/>
      <c r="X49" s="86"/>
      <c r="Y49" s="86"/>
      <c r="Z49" s="86"/>
      <c r="AA49" s="86">
        <v>37</v>
      </c>
      <c r="AB49" s="86"/>
      <c r="AC49" s="86"/>
      <c r="AD49" s="86"/>
      <c r="AE49" s="86"/>
      <c r="AF49" s="86">
        <v>80</v>
      </c>
      <c r="AG49" s="86"/>
      <c r="AH49" s="86"/>
      <c r="AI49" s="86"/>
      <c r="AJ49" s="86"/>
      <c r="AK49" s="86">
        <v>1</v>
      </c>
      <c r="AL49" s="86"/>
      <c r="AM49" s="86"/>
      <c r="AN49" s="86"/>
      <c r="AO49" s="86"/>
      <c r="AP49" s="86">
        <v>0</v>
      </c>
      <c r="AQ49" s="86">
        <f t="shared" si="4"/>
        <v>120</v>
      </c>
      <c r="AR49" s="126"/>
    </row>
    <row r="50" spans="1:44" x14ac:dyDescent="0.45">
      <c r="A50" s="180"/>
      <c r="AR50" s="126"/>
    </row>
    <row r="51" spans="1:44" x14ac:dyDescent="0.45">
      <c r="B51"/>
      <c r="AR51" s="126"/>
    </row>
    <row r="52" spans="1:44" x14ac:dyDescent="0.45">
      <c r="A52" s="26" t="s">
        <v>686</v>
      </c>
      <c r="B52" s="253">
        <v>43568</v>
      </c>
      <c r="C52" s="253">
        <v>43569</v>
      </c>
      <c r="D52" s="253">
        <v>43570</v>
      </c>
      <c r="E52" s="253">
        <v>43571</v>
      </c>
      <c r="F52" s="253">
        <v>43572</v>
      </c>
      <c r="G52" s="253">
        <v>43573</v>
      </c>
      <c r="H52" s="253">
        <v>43574</v>
      </c>
      <c r="I52" s="253">
        <v>43575</v>
      </c>
      <c r="J52" s="253">
        <v>43576</v>
      </c>
      <c r="K52" s="253">
        <v>43577</v>
      </c>
      <c r="L52" s="253">
        <v>43578</v>
      </c>
      <c r="M52" s="253">
        <v>43579</v>
      </c>
      <c r="N52" s="253">
        <v>43580</v>
      </c>
      <c r="O52" s="253">
        <v>43581</v>
      </c>
      <c r="P52" s="253">
        <v>43582</v>
      </c>
      <c r="Q52" s="253">
        <v>43583</v>
      </c>
      <c r="R52" s="253">
        <v>43584</v>
      </c>
      <c r="S52" s="253">
        <v>43585</v>
      </c>
      <c r="T52" s="253">
        <v>43586</v>
      </c>
      <c r="U52" s="253">
        <v>43587</v>
      </c>
      <c r="V52" s="253">
        <v>43588</v>
      </c>
      <c r="W52" s="253">
        <v>43589</v>
      </c>
      <c r="X52" s="253">
        <v>43590</v>
      </c>
      <c r="Y52" s="253">
        <v>43591</v>
      </c>
      <c r="Z52" s="253">
        <v>43592</v>
      </c>
      <c r="AA52" s="253">
        <v>43593</v>
      </c>
      <c r="AB52" s="253">
        <v>43594</v>
      </c>
      <c r="AC52" s="253">
        <v>43595</v>
      </c>
      <c r="AD52" s="253">
        <v>43596</v>
      </c>
      <c r="AE52" s="253">
        <v>43597</v>
      </c>
      <c r="AF52" s="253">
        <v>43598</v>
      </c>
      <c r="AG52" s="253">
        <v>43599</v>
      </c>
      <c r="AH52" s="253">
        <v>43600</v>
      </c>
      <c r="AI52" s="253">
        <v>43601</v>
      </c>
      <c r="AJ52" s="253">
        <v>43602</v>
      </c>
      <c r="AK52" s="253">
        <v>43603</v>
      </c>
      <c r="AL52" s="253">
        <v>43604</v>
      </c>
      <c r="AM52" s="253">
        <v>43605</v>
      </c>
      <c r="AN52" s="253">
        <v>43606</v>
      </c>
      <c r="AO52" s="253">
        <v>43607</v>
      </c>
      <c r="AP52" s="253">
        <v>43608</v>
      </c>
      <c r="AQ52" s="191" t="s">
        <v>24</v>
      </c>
      <c r="AR52" s="126"/>
    </row>
    <row r="53" spans="1:44" x14ac:dyDescent="0.45">
      <c r="A53" s="258" t="s">
        <v>687</v>
      </c>
      <c r="B53" s="86">
        <v>3</v>
      </c>
      <c r="C53" s="86">
        <v>2</v>
      </c>
      <c r="D53" s="86">
        <v>0</v>
      </c>
      <c r="E53" s="86">
        <v>0</v>
      </c>
      <c r="F53" s="86">
        <v>6</v>
      </c>
      <c r="G53" s="86">
        <v>87</v>
      </c>
      <c r="H53" s="86">
        <v>54</v>
      </c>
      <c r="I53" s="86">
        <v>0</v>
      </c>
      <c r="J53" s="86">
        <v>0</v>
      </c>
      <c r="K53" s="86">
        <v>32</v>
      </c>
      <c r="L53" s="86">
        <v>90</v>
      </c>
      <c r="M53" s="86">
        <v>5</v>
      </c>
      <c r="N53" s="86">
        <v>7</v>
      </c>
      <c r="O53" s="86">
        <v>4</v>
      </c>
      <c r="P53" s="86">
        <v>25</v>
      </c>
      <c r="Q53" s="86">
        <v>70</v>
      </c>
      <c r="R53" s="86">
        <v>24</v>
      </c>
      <c r="S53" s="86">
        <v>121</v>
      </c>
      <c r="T53" s="86">
        <v>5</v>
      </c>
      <c r="U53" s="86">
        <v>38</v>
      </c>
      <c r="V53" s="86">
        <v>794</v>
      </c>
      <c r="W53" s="86">
        <v>167</v>
      </c>
      <c r="X53" s="86">
        <v>102</v>
      </c>
      <c r="Y53" s="86">
        <v>40</v>
      </c>
      <c r="Z53" s="86">
        <v>16</v>
      </c>
      <c r="AA53" s="86">
        <v>4541</v>
      </c>
      <c r="AB53" s="86">
        <v>604</v>
      </c>
      <c r="AC53" s="86">
        <v>688</v>
      </c>
      <c r="AD53" s="86">
        <v>10251</v>
      </c>
      <c r="AE53" s="86">
        <v>5089</v>
      </c>
      <c r="AF53" s="86">
        <v>1686</v>
      </c>
      <c r="AG53" s="86">
        <v>1207</v>
      </c>
      <c r="AH53" s="86">
        <v>81</v>
      </c>
      <c r="AI53" s="86">
        <v>1150</v>
      </c>
      <c r="AJ53" s="86">
        <v>45</v>
      </c>
      <c r="AK53" s="86">
        <v>1262</v>
      </c>
      <c r="AL53" s="86">
        <v>27</v>
      </c>
      <c r="AM53" s="86">
        <v>52</v>
      </c>
      <c r="AN53" s="86">
        <v>15</v>
      </c>
      <c r="AO53" s="86">
        <v>6</v>
      </c>
      <c r="AP53" s="86">
        <v>1078</v>
      </c>
      <c r="AQ53" s="86">
        <v>29474</v>
      </c>
      <c r="AR53" s="126"/>
    </row>
    <row r="54" spans="1:44" x14ac:dyDescent="0.45">
      <c r="A54" s="90" t="s">
        <v>688</v>
      </c>
      <c r="B54" s="86">
        <f>SUM(B57:B61)</f>
        <v>0</v>
      </c>
      <c r="C54" s="86">
        <f t="shared" ref="C54:AQ54" si="5">SUM(C57:C61)</f>
        <v>0</v>
      </c>
      <c r="D54" s="86">
        <f t="shared" si="5"/>
        <v>0</v>
      </c>
      <c r="E54" s="86">
        <f t="shared" si="5"/>
        <v>0</v>
      </c>
      <c r="F54" s="86">
        <f t="shared" si="5"/>
        <v>0</v>
      </c>
      <c r="G54" s="86">
        <f t="shared" si="5"/>
        <v>0</v>
      </c>
      <c r="H54" s="86">
        <f t="shared" si="5"/>
        <v>0</v>
      </c>
      <c r="I54" s="86">
        <f t="shared" si="5"/>
        <v>0</v>
      </c>
      <c r="J54" s="86">
        <f t="shared" si="5"/>
        <v>0</v>
      </c>
      <c r="K54" s="86">
        <f t="shared" si="5"/>
        <v>0</v>
      </c>
      <c r="L54" s="86">
        <f t="shared" si="5"/>
        <v>0</v>
      </c>
      <c r="M54" s="86">
        <f t="shared" si="5"/>
        <v>0</v>
      </c>
      <c r="N54" s="86">
        <f t="shared" si="5"/>
        <v>0</v>
      </c>
      <c r="O54" s="86">
        <f t="shared" si="5"/>
        <v>0</v>
      </c>
      <c r="P54" s="86">
        <f t="shared" si="5"/>
        <v>0</v>
      </c>
      <c r="Q54" s="86">
        <f t="shared" si="5"/>
        <v>0</v>
      </c>
      <c r="R54" s="86">
        <f t="shared" si="5"/>
        <v>0</v>
      </c>
      <c r="S54" s="86">
        <f t="shared" si="5"/>
        <v>17</v>
      </c>
      <c r="T54" s="86">
        <f t="shared" si="5"/>
        <v>0</v>
      </c>
      <c r="U54" s="86">
        <f t="shared" si="5"/>
        <v>12</v>
      </c>
      <c r="V54" s="86">
        <f t="shared" si="5"/>
        <v>437</v>
      </c>
      <c r="W54" s="86">
        <f t="shared" si="5"/>
        <v>106</v>
      </c>
      <c r="X54" s="86">
        <f t="shared" si="5"/>
        <v>49</v>
      </c>
      <c r="Y54" s="86">
        <f t="shared" si="5"/>
        <v>4</v>
      </c>
      <c r="Z54" s="86">
        <f t="shared" si="5"/>
        <v>0</v>
      </c>
      <c r="AA54" s="86">
        <f t="shared" si="5"/>
        <v>2206</v>
      </c>
      <c r="AB54" s="86">
        <f t="shared" si="5"/>
        <v>378</v>
      </c>
      <c r="AC54" s="86">
        <f t="shared" si="5"/>
        <v>404</v>
      </c>
      <c r="AD54" s="86">
        <f t="shared" si="5"/>
        <v>8451</v>
      </c>
      <c r="AE54" s="86">
        <f t="shared" si="5"/>
        <v>4115</v>
      </c>
      <c r="AF54" s="86">
        <f t="shared" si="5"/>
        <v>1042</v>
      </c>
      <c r="AG54" s="86">
        <f t="shared" si="5"/>
        <v>1109</v>
      </c>
      <c r="AH54" s="86">
        <f t="shared" si="5"/>
        <v>54</v>
      </c>
      <c r="AI54" s="86">
        <f t="shared" si="5"/>
        <v>916</v>
      </c>
      <c r="AJ54" s="86">
        <f t="shared" si="5"/>
        <v>45</v>
      </c>
      <c r="AK54" s="86">
        <f t="shared" si="5"/>
        <v>434</v>
      </c>
      <c r="AL54" s="86">
        <f t="shared" si="5"/>
        <v>1</v>
      </c>
      <c r="AM54" s="86">
        <f t="shared" si="5"/>
        <v>0</v>
      </c>
      <c r="AN54" s="86">
        <f t="shared" si="5"/>
        <v>5</v>
      </c>
      <c r="AO54" s="86">
        <f t="shared" si="5"/>
        <v>0</v>
      </c>
      <c r="AP54" s="86">
        <f t="shared" si="5"/>
        <v>31</v>
      </c>
      <c r="AQ54" s="86">
        <f t="shared" si="5"/>
        <v>19816</v>
      </c>
      <c r="AR54" s="126"/>
    </row>
    <row r="55" spans="1:44" x14ac:dyDescent="0.45">
      <c r="A55" s="90" t="s">
        <v>689</v>
      </c>
      <c r="B55" s="86">
        <f>SUM(B63:B65)</f>
        <v>0</v>
      </c>
      <c r="C55" s="86">
        <f t="shared" ref="C55:AQ55" si="6">SUM(C63:C65)</f>
        <v>0</v>
      </c>
      <c r="D55" s="86">
        <f t="shared" si="6"/>
        <v>0</v>
      </c>
      <c r="E55" s="86">
        <f t="shared" si="6"/>
        <v>0</v>
      </c>
      <c r="F55" s="86">
        <f t="shared" si="6"/>
        <v>0</v>
      </c>
      <c r="G55" s="86">
        <f t="shared" si="6"/>
        <v>0</v>
      </c>
      <c r="H55" s="86">
        <f t="shared" si="6"/>
        <v>0</v>
      </c>
      <c r="I55" s="86">
        <f t="shared" si="6"/>
        <v>0</v>
      </c>
      <c r="J55" s="86">
        <f t="shared" si="6"/>
        <v>0</v>
      </c>
      <c r="K55" s="86">
        <f t="shared" si="6"/>
        <v>0</v>
      </c>
      <c r="L55" s="86">
        <f t="shared" si="6"/>
        <v>0</v>
      </c>
      <c r="M55" s="86">
        <f t="shared" si="6"/>
        <v>0</v>
      </c>
      <c r="N55" s="86">
        <f t="shared" si="6"/>
        <v>0</v>
      </c>
      <c r="O55" s="86">
        <f t="shared" si="6"/>
        <v>1</v>
      </c>
      <c r="P55" s="86">
        <f t="shared" si="6"/>
        <v>1</v>
      </c>
      <c r="Q55" s="86">
        <f t="shared" si="6"/>
        <v>0</v>
      </c>
      <c r="R55" s="86">
        <f t="shared" si="6"/>
        <v>0</v>
      </c>
      <c r="S55" s="86">
        <f t="shared" si="6"/>
        <v>15</v>
      </c>
      <c r="T55" s="86">
        <f t="shared" si="6"/>
        <v>0</v>
      </c>
      <c r="U55" s="86">
        <f t="shared" si="6"/>
        <v>2</v>
      </c>
      <c r="V55" s="86">
        <f t="shared" si="6"/>
        <v>33</v>
      </c>
      <c r="W55" s="86">
        <f t="shared" si="6"/>
        <v>12</v>
      </c>
      <c r="X55" s="86">
        <f t="shared" si="6"/>
        <v>6</v>
      </c>
      <c r="Y55" s="86">
        <f t="shared" si="6"/>
        <v>1</v>
      </c>
      <c r="Z55" s="86">
        <f t="shared" si="6"/>
        <v>3</v>
      </c>
      <c r="AA55" s="86">
        <f t="shared" si="6"/>
        <v>76</v>
      </c>
      <c r="AB55" s="86">
        <f t="shared" si="6"/>
        <v>13</v>
      </c>
      <c r="AC55" s="86">
        <f t="shared" si="6"/>
        <v>47</v>
      </c>
      <c r="AD55" s="86">
        <f t="shared" si="6"/>
        <v>345</v>
      </c>
      <c r="AE55" s="86">
        <f t="shared" si="6"/>
        <v>111</v>
      </c>
      <c r="AF55" s="86">
        <f t="shared" si="6"/>
        <v>91</v>
      </c>
      <c r="AG55" s="86">
        <f t="shared" si="6"/>
        <v>12</v>
      </c>
      <c r="AH55" s="86">
        <f t="shared" si="6"/>
        <v>8</v>
      </c>
      <c r="AI55" s="86">
        <f t="shared" si="6"/>
        <v>37</v>
      </c>
      <c r="AJ55" s="86">
        <f t="shared" si="6"/>
        <v>0</v>
      </c>
      <c r="AK55" s="86">
        <f t="shared" si="6"/>
        <v>22</v>
      </c>
      <c r="AL55" s="86">
        <f t="shared" si="6"/>
        <v>1</v>
      </c>
      <c r="AM55" s="86">
        <f t="shared" si="6"/>
        <v>10</v>
      </c>
      <c r="AN55" s="86">
        <f t="shared" si="6"/>
        <v>0</v>
      </c>
      <c r="AO55" s="86">
        <f t="shared" si="6"/>
        <v>4</v>
      </c>
      <c r="AP55" s="86">
        <f t="shared" si="6"/>
        <v>4</v>
      </c>
      <c r="AQ55" s="86">
        <f t="shared" si="6"/>
        <v>855</v>
      </c>
      <c r="AR55" s="126"/>
    </row>
    <row r="56" spans="1:44" x14ac:dyDescent="0.45">
      <c r="A56" s="90"/>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126"/>
    </row>
    <row r="57" spans="1:44" x14ac:dyDescent="0.45">
      <c r="A57" s="90" t="s">
        <v>11</v>
      </c>
      <c r="B57" s="86"/>
      <c r="C57" s="86"/>
      <c r="D57" s="86"/>
      <c r="E57" s="86"/>
      <c r="F57" s="86"/>
      <c r="G57" s="86"/>
      <c r="H57" s="86"/>
      <c r="I57" s="86"/>
      <c r="J57" s="86"/>
      <c r="K57" s="86"/>
      <c r="L57" s="86"/>
      <c r="M57" s="86"/>
      <c r="N57" s="86"/>
      <c r="O57" s="86"/>
      <c r="P57" s="86"/>
      <c r="Q57" s="86"/>
      <c r="R57" s="86"/>
      <c r="S57" s="86">
        <v>12</v>
      </c>
      <c r="T57" s="86"/>
      <c r="U57" s="86"/>
      <c r="V57" s="86">
        <v>343</v>
      </c>
      <c r="W57" s="86">
        <v>23</v>
      </c>
      <c r="X57" s="86">
        <v>18</v>
      </c>
      <c r="Y57" s="86"/>
      <c r="Z57" s="86"/>
      <c r="AA57" s="86">
        <v>1641</v>
      </c>
      <c r="AB57" s="86">
        <v>275</v>
      </c>
      <c r="AC57" s="86">
        <v>193</v>
      </c>
      <c r="AD57" s="86">
        <v>5835</v>
      </c>
      <c r="AE57" s="86">
        <v>4022</v>
      </c>
      <c r="AF57" s="86">
        <v>691</v>
      </c>
      <c r="AG57" s="86">
        <v>258</v>
      </c>
      <c r="AH57" s="86">
        <v>20</v>
      </c>
      <c r="AI57" s="86">
        <v>895</v>
      </c>
      <c r="AJ57" s="86">
        <v>45</v>
      </c>
      <c r="AK57" s="86">
        <v>320</v>
      </c>
      <c r="AL57" s="86">
        <v>1</v>
      </c>
      <c r="AM57" s="86"/>
      <c r="AN57" s="86">
        <v>3</v>
      </c>
      <c r="AO57" s="86"/>
      <c r="AP57" s="86">
        <v>21</v>
      </c>
      <c r="AQ57" s="86">
        <v>14616</v>
      </c>
      <c r="AR57" s="126"/>
    </row>
    <row r="58" spans="1:44" x14ac:dyDescent="0.45">
      <c r="A58" s="90" t="s">
        <v>12</v>
      </c>
      <c r="B58" s="86"/>
      <c r="C58" s="86"/>
      <c r="D58" s="86"/>
      <c r="E58" s="86"/>
      <c r="F58" s="86"/>
      <c r="G58" s="86"/>
      <c r="H58" s="86"/>
      <c r="I58" s="86"/>
      <c r="J58" s="86"/>
      <c r="K58" s="86"/>
      <c r="L58" s="86"/>
      <c r="M58" s="86"/>
      <c r="N58" s="86"/>
      <c r="O58" s="86"/>
      <c r="P58" s="86"/>
      <c r="Q58" s="86"/>
      <c r="R58" s="86"/>
      <c r="S58" s="86">
        <v>5</v>
      </c>
      <c r="T58" s="86"/>
      <c r="U58" s="86"/>
      <c r="V58" s="86">
        <v>24</v>
      </c>
      <c r="W58" s="86">
        <v>8</v>
      </c>
      <c r="X58" s="86">
        <v>30</v>
      </c>
      <c r="Y58" s="86"/>
      <c r="Z58" s="86"/>
      <c r="AA58" s="86">
        <v>25</v>
      </c>
      <c r="AB58" s="86">
        <v>21</v>
      </c>
      <c r="AC58" s="86">
        <v>21</v>
      </c>
      <c r="AD58" s="86">
        <v>96</v>
      </c>
      <c r="AE58" s="86">
        <v>26</v>
      </c>
      <c r="AF58" s="86">
        <v>17</v>
      </c>
      <c r="AG58" s="86">
        <v>35</v>
      </c>
      <c r="AH58" s="86">
        <v>17</v>
      </c>
      <c r="AI58" s="86">
        <v>10</v>
      </c>
      <c r="AJ58" s="86"/>
      <c r="AK58" s="86">
        <v>8</v>
      </c>
      <c r="AL58" s="86"/>
      <c r="AM58" s="86"/>
      <c r="AN58" s="86">
        <v>2</v>
      </c>
      <c r="AO58" s="86"/>
      <c r="AP58" s="86">
        <v>1</v>
      </c>
      <c r="AQ58" s="86">
        <v>346</v>
      </c>
      <c r="AR58" s="126"/>
    </row>
    <row r="59" spans="1:44" x14ac:dyDescent="0.45">
      <c r="A59" s="90" t="s">
        <v>32</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v>3</v>
      </c>
      <c r="AB59" s="86"/>
      <c r="AC59" s="86">
        <v>1</v>
      </c>
      <c r="AD59" s="86">
        <v>14</v>
      </c>
      <c r="AE59" s="86"/>
      <c r="AF59" s="86"/>
      <c r="AG59" s="86"/>
      <c r="AH59" s="86">
        <v>2</v>
      </c>
      <c r="AI59" s="86">
        <v>5</v>
      </c>
      <c r="AJ59" s="86"/>
      <c r="AK59" s="86"/>
      <c r="AL59" s="86"/>
      <c r="AM59" s="86"/>
      <c r="AN59" s="86"/>
      <c r="AO59" s="86"/>
      <c r="AP59" s="86">
        <v>6</v>
      </c>
      <c r="AQ59" s="86">
        <v>31</v>
      </c>
      <c r="AR59" s="126"/>
    </row>
    <row r="60" spans="1:44" x14ac:dyDescent="0.45">
      <c r="A60" s="90" t="s">
        <v>190</v>
      </c>
      <c r="B60" s="86"/>
      <c r="C60" s="86"/>
      <c r="D60" s="86"/>
      <c r="E60" s="86"/>
      <c r="F60" s="86"/>
      <c r="G60" s="86"/>
      <c r="H60" s="86"/>
      <c r="I60" s="86"/>
      <c r="J60" s="86"/>
      <c r="K60" s="86"/>
      <c r="L60" s="86"/>
      <c r="M60" s="86"/>
      <c r="N60" s="86"/>
      <c r="O60" s="86"/>
      <c r="P60" s="86"/>
      <c r="Q60" s="86"/>
      <c r="R60" s="86"/>
      <c r="S60" s="86"/>
      <c r="T60" s="86"/>
      <c r="U60" s="86">
        <v>12</v>
      </c>
      <c r="V60" s="86">
        <v>70</v>
      </c>
      <c r="W60" s="86">
        <v>75</v>
      </c>
      <c r="X60" s="86">
        <v>1</v>
      </c>
      <c r="Y60" s="86">
        <v>4</v>
      </c>
      <c r="Z60" s="86"/>
      <c r="AA60" s="86">
        <v>459</v>
      </c>
      <c r="AB60" s="86">
        <v>82</v>
      </c>
      <c r="AC60" s="86">
        <v>189</v>
      </c>
      <c r="AD60" s="86">
        <v>2506</v>
      </c>
      <c r="AE60" s="86">
        <v>67</v>
      </c>
      <c r="AF60" s="86">
        <v>334</v>
      </c>
      <c r="AG60" s="86">
        <v>16</v>
      </c>
      <c r="AH60" s="86">
        <v>15</v>
      </c>
      <c r="AI60" s="86">
        <v>6</v>
      </c>
      <c r="AJ60" s="86"/>
      <c r="AK60" s="86">
        <v>106</v>
      </c>
      <c r="AL60" s="86"/>
      <c r="AM60" s="86"/>
      <c r="AN60" s="86"/>
      <c r="AO60" s="86"/>
      <c r="AP60" s="86">
        <v>3</v>
      </c>
      <c r="AQ60" s="86">
        <v>3945</v>
      </c>
      <c r="AR60" s="126"/>
    </row>
    <row r="61" spans="1:44" x14ac:dyDescent="0.45">
      <c r="A61" s="90" t="s">
        <v>218</v>
      </c>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v>78</v>
      </c>
      <c r="AB61" s="86"/>
      <c r="AC61" s="86"/>
      <c r="AD61" s="86"/>
      <c r="AE61" s="86"/>
      <c r="AF61" s="86"/>
      <c r="AG61" s="86">
        <v>800</v>
      </c>
      <c r="AH61" s="86"/>
      <c r="AI61" s="86"/>
      <c r="AJ61" s="86"/>
      <c r="AK61" s="86"/>
      <c r="AL61" s="86"/>
      <c r="AM61" s="86"/>
      <c r="AN61" s="86"/>
      <c r="AO61" s="86"/>
      <c r="AP61" s="86"/>
      <c r="AQ61" s="86">
        <v>878</v>
      </c>
      <c r="AR61" s="126"/>
    </row>
    <row r="62" spans="1:44" x14ac:dyDescent="0.45">
      <c r="A62" s="90"/>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126"/>
    </row>
    <row r="63" spans="1:44" x14ac:dyDescent="0.45">
      <c r="A63" s="90" t="s">
        <v>15</v>
      </c>
      <c r="B63" s="86"/>
      <c r="C63" s="86"/>
      <c r="D63" s="86"/>
      <c r="E63" s="86"/>
      <c r="F63" s="86"/>
      <c r="G63" s="86"/>
      <c r="H63" s="86"/>
      <c r="I63" s="86"/>
      <c r="J63" s="86"/>
      <c r="K63" s="86"/>
      <c r="L63" s="86"/>
      <c r="M63" s="86"/>
      <c r="N63" s="86"/>
      <c r="O63" s="86">
        <v>1</v>
      </c>
      <c r="P63" s="86">
        <v>1</v>
      </c>
      <c r="Q63" s="86"/>
      <c r="R63" s="86"/>
      <c r="S63" s="86">
        <v>15</v>
      </c>
      <c r="T63" s="86"/>
      <c r="U63" s="86">
        <v>2</v>
      </c>
      <c r="V63" s="86"/>
      <c r="W63" s="86">
        <v>12</v>
      </c>
      <c r="X63" s="86">
        <v>6</v>
      </c>
      <c r="Y63" s="86">
        <v>1</v>
      </c>
      <c r="Z63" s="86"/>
      <c r="AA63" s="86">
        <v>16</v>
      </c>
      <c r="AB63" s="86">
        <v>10</v>
      </c>
      <c r="AC63" s="86">
        <v>11</v>
      </c>
      <c r="AD63" s="86">
        <v>157</v>
      </c>
      <c r="AE63" s="86">
        <v>30</v>
      </c>
      <c r="AF63" s="86">
        <v>23</v>
      </c>
      <c r="AG63" s="86">
        <v>12</v>
      </c>
      <c r="AH63" s="86">
        <v>8</v>
      </c>
      <c r="AI63" s="86"/>
      <c r="AJ63" s="86"/>
      <c r="AK63" s="86"/>
      <c r="AL63" s="86"/>
      <c r="AM63" s="86">
        <v>10</v>
      </c>
      <c r="AN63" s="86"/>
      <c r="AO63" s="86">
        <v>2</v>
      </c>
      <c r="AP63" s="86"/>
      <c r="AQ63" s="86">
        <v>317</v>
      </c>
      <c r="AR63" s="126"/>
    </row>
    <row r="64" spans="1:44" x14ac:dyDescent="0.45">
      <c r="A64" s="90" t="s">
        <v>54</v>
      </c>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v>2</v>
      </c>
      <c r="AB64" s="86">
        <v>2</v>
      </c>
      <c r="AC64" s="86">
        <v>16</v>
      </c>
      <c r="AD64" s="86">
        <v>63</v>
      </c>
      <c r="AE64" s="86">
        <v>13</v>
      </c>
      <c r="AF64" s="86"/>
      <c r="AG64" s="86"/>
      <c r="AH64" s="86"/>
      <c r="AI64" s="86">
        <v>5</v>
      </c>
      <c r="AJ64" s="86"/>
      <c r="AK64" s="86"/>
      <c r="AL64" s="86">
        <v>1</v>
      </c>
      <c r="AM64" s="86"/>
      <c r="AN64" s="86"/>
      <c r="AO64" s="86"/>
      <c r="AP64" s="86">
        <v>1</v>
      </c>
      <c r="AQ64" s="86">
        <v>103</v>
      </c>
      <c r="AR64" s="126"/>
    </row>
    <row r="65" spans="1:44" x14ac:dyDescent="0.45">
      <c r="A65" s="90" t="s">
        <v>183</v>
      </c>
      <c r="B65" s="86"/>
      <c r="C65" s="86"/>
      <c r="D65" s="86"/>
      <c r="E65" s="86"/>
      <c r="F65" s="86"/>
      <c r="G65" s="86"/>
      <c r="H65" s="86"/>
      <c r="I65" s="86"/>
      <c r="J65" s="86"/>
      <c r="K65" s="86"/>
      <c r="L65" s="86"/>
      <c r="M65" s="86"/>
      <c r="N65" s="86"/>
      <c r="O65" s="86"/>
      <c r="P65" s="86"/>
      <c r="Q65" s="86"/>
      <c r="R65" s="86"/>
      <c r="S65" s="86"/>
      <c r="T65" s="86"/>
      <c r="U65" s="86"/>
      <c r="V65" s="86">
        <v>33</v>
      </c>
      <c r="W65" s="86"/>
      <c r="X65" s="86"/>
      <c r="Y65" s="86"/>
      <c r="Z65" s="86">
        <v>3</v>
      </c>
      <c r="AA65" s="86">
        <v>58</v>
      </c>
      <c r="AB65" s="86">
        <v>1</v>
      </c>
      <c r="AC65" s="86">
        <v>20</v>
      </c>
      <c r="AD65" s="86">
        <v>125</v>
      </c>
      <c r="AE65" s="86">
        <v>68</v>
      </c>
      <c r="AF65" s="86">
        <v>68</v>
      </c>
      <c r="AG65" s="86"/>
      <c r="AH65" s="86"/>
      <c r="AI65" s="86">
        <v>32</v>
      </c>
      <c r="AJ65" s="86"/>
      <c r="AK65" s="86">
        <v>22</v>
      </c>
      <c r="AL65" s="86"/>
      <c r="AM65" s="86"/>
      <c r="AN65" s="86"/>
      <c r="AO65" s="86">
        <v>2</v>
      </c>
      <c r="AP65" s="86">
        <v>3</v>
      </c>
      <c r="AQ65" s="86">
        <v>435</v>
      </c>
      <c r="AR65" s="126"/>
    </row>
    <row r="66" spans="1:44" x14ac:dyDescent="0.45">
      <c r="B66"/>
      <c r="AR66" s="126"/>
    </row>
    <row r="67" spans="1:44" x14ac:dyDescent="0.45">
      <c r="B67"/>
      <c r="AR67" s="126"/>
    </row>
    <row r="68" spans="1:44" x14ac:dyDescent="0.45">
      <c r="B68"/>
      <c r="AR68" s="126"/>
    </row>
    <row r="69" spans="1:44" x14ac:dyDescent="0.45">
      <c r="B69"/>
      <c r="AR69" s="126"/>
    </row>
    <row r="70" spans="1:44" x14ac:dyDescent="0.45">
      <c r="B70"/>
      <c r="AR70" s="126"/>
    </row>
    <row r="71" spans="1:44" x14ac:dyDescent="0.45">
      <c r="B71"/>
      <c r="AR71" s="126"/>
    </row>
    <row r="72" spans="1:44" x14ac:dyDescent="0.45">
      <c r="B72"/>
      <c r="AR72" s="126"/>
    </row>
    <row r="73" spans="1:44" x14ac:dyDescent="0.45">
      <c r="B73"/>
      <c r="AR73" s="126"/>
    </row>
    <row r="74" spans="1:44" x14ac:dyDescent="0.45">
      <c r="B74"/>
      <c r="AR74" s="126"/>
    </row>
    <row r="75" spans="1:44" x14ac:dyDescent="0.45">
      <c r="B75"/>
      <c r="AR75" s="126"/>
    </row>
    <row r="76" spans="1:44" x14ac:dyDescent="0.45">
      <c r="B76"/>
      <c r="AR76" s="126"/>
    </row>
    <row r="77" spans="1:44" x14ac:dyDescent="0.45">
      <c r="B77"/>
      <c r="AR77" s="126"/>
    </row>
    <row r="78" spans="1:44" x14ac:dyDescent="0.45">
      <c r="B78"/>
      <c r="AR78" s="126"/>
    </row>
    <row r="79" spans="1:44" x14ac:dyDescent="0.45">
      <c r="B79"/>
      <c r="AR79" s="126"/>
    </row>
    <row r="80" spans="1:44" x14ac:dyDescent="0.45">
      <c r="B80"/>
      <c r="AR80" s="126"/>
    </row>
    <row r="81" spans="2:44" x14ac:dyDescent="0.45">
      <c r="B81"/>
      <c r="AR81" s="126"/>
    </row>
    <row r="82" spans="2:44" x14ac:dyDescent="0.45">
      <c r="B82"/>
      <c r="AR82" s="126"/>
    </row>
    <row r="83" spans="2:44" x14ac:dyDescent="0.45">
      <c r="B83"/>
      <c r="AR83" s="126"/>
    </row>
    <row r="84" spans="2:44" x14ac:dyDescent="0.45">
      <c r="B84"/>
      <c r="AR84" s="126"/>
    </row>
    <row r="85" spans="2:44" x14ac:dyDescent="0.45">
      <c r="B85"/>
      <c r="AR85" s="126"/>
    </row>
    <row r="86" spans="2:44" x14ac:dyDescent="0.45">
      <c r="B86"/>
      <c r="AR86" s="126"/>
    </row>
    <row r="87" spans="2:44" x14ac:dyDescent="0.45">
      <c r="B87"/>
      <c r="AR87" s="126"/>
    </row>
    <row r="88" spans="2:44" x14ac:dyDescent="0.45">
      <c r="B88"/>
      <c r="AR88" s="126"/>
    </row>
    <row r="89" spans="2:44" x14ac:dyDescent="0.45">
      <c r="B89"/>
      <c r="AR89" s="126"/>
    </row>
    <row r="90" spans="2:44" x14ac:dyDescent="0.45">
      <c r="B90"/>
      <c r="AR90" s="126"/>
    </row>
    <row r="91" spans="2:44" x14ac:dyDescent="0.45">
      <c r="B91"/>
      <c r="AR91" s="126"/>
    </row>
    <row r="92" spans="2:44" x14ac:dyDescent="0.45">
      <c r="B92"/>
      <c r="AR92" s="126"/>
    </row>
    <row r="93" spans="2:44" x14ac:dyDescent="0.45">
      <c r="B93"/>
      <c r="AR93" s="126"/>
    </row>
    <row r="94" spans="2:44" x14ac:dyDescent="0.45">
      <c r="B94"/>
      <c r="AR94" s="126"/>
    </row>
    <row r="95" spans="2:44" x14ac:dyDescent="0.45">
      <c r="B95"/>
      <c r="AR95" s="126"/>
    </row>
    <row r="96" spans="2:44" x14ac:dyDescent="0.45">
      <c r="B96"/>
      <c r="AR96" s="126"/>
    </row>
    <row r="97" spans="2:44" x14ac:dyDescent="0.45">
      <c r="B97"/>
      <c r="AR97" s="126"/>
    </row>
    <row r="98" spans="2:44" x14ac:dyDescent="0.45">
      <c r="B98"/>
      <c r="AR98" s="126"/>
    </row>
    <row r="99" spans="2:44" x14ac:dyDescent="0.45">
      <c r="B99"/>
      <c r="AR99" s="126"/>
    </row>
    <row r="100" spans="2:44" x14ac:dyDescent="0.45">
      <c r="B100"/>
      <c r="AR100" s="126"/>
    </row>
    <row r="101" spans="2:44" x14ac:dyDescent="0.45">
      <c r="B101"/>
      <c r="Z101" s="39"/>
      <c r="AR101" s="126"/>
    </row>
    <row r="102" spans="2:44" x14ac:dyDescent="0.45">
      <c r="B102"/>
      <c r="Z102" s="39"/>
      <c r="AR102" s="126"/>
    </row>
    <row r="103" spans="2:44" x14ac:dyDescent="0.45">
      <c r="B103"/>
      <c r="Z103" s="39"/>
      <c r="AR103" s="126"/>
    </row>
    <row r="104" spans="2:44" x14ac:dyDescent="0.45">
      <c r="B104"/>
      <c r="AR104" s="126"/>
    </row>
    <row r="105" spans="2:44" x14ac:dyDescent="0.45">
      <c r="B105"/>
      <c r="AR105" s="126"/>
    </row>
    <row r="106" spans="2:44" x14ac:dyDescent="0.45">
      <c r="B106"/>
      <c r="AR106" s="126"/>
    </row>
    <row r="107" spans="2:44" x14ac:dyDescent="0.45">
      <c r="B107"/>
      <c r="AR107" s="126"/>
    </row>
    <row r="108" spans="2:44" x14ac:dyDescent="0.45">
      <c r="B108"/>
      <c r="AR108" s="126"/>
    </row>
    <row r="109" spans="2:44" x14ac:dyDescent="0.45">
      <c r="B109"/>
      <c r="AR109" s="126"/>
    </row>
    <row r="110" spans="2:44" x14ac:dyDescent="0.45">
      <c r="B110"/>
      <c r="AR110" s="126"/>
    </row>
    <row r="111" spans="2:44" x14ac:dyDescent="0.45">
      <c r="B111"/>
      <c r="X111" s="39"/>
      <c r="AR111" s="126"/>
    </row>
    <row r="112" spans="2:44" x14ac:dyDescent="0.45">
      <c r="B112"/>
      <c r="X112" s="39"/>
      <c r="AR112" s="126"/>
    </row>
    <row r="113" spans="2:44" x14ac:dyDescent="0.45">
      <c r="B113"/>
      <c r="X113" s="39"/>
      <c r="AR113" s="126"/>
    </row>
    <row r="114" spans="2:44" x14ac:dyDescent="0.45">
      <c r="B114"/>
      <c r="X114" s="39"/>
      <c r="AR114" s="126"/>
    </row>
    <row r="115" spans="2:44" x14ac:dyDescent="0.45">
      <c r="B115"/>
      <c r="X115" s="39"/>
      <c r="AR115" s="126"/>
    </row>
    <row r="116" spans="2:44" x14ac:dyDescent="0.45">
      <c r="B116"/>
      <c r="X116" s="39"/>
      <c r="AR116" s="126"/>
    </row>
    <row r="117" spans="2:44" x14ac:dyDescent="0.45">
      <c r="B117"/>
      <c r="X117" s="39"/>
      <c r="AR117" s="126"/>
    </row>
    <row r="118" spans="2:44" x14ac:dyDescent="0.45">
      <c r="B118"/>
      <c r="X118" s="39"/>
      <c r="AR118" s="126"/>
    </row>
    <row r="119" spans="2:44" x14ac:dyDescent="0.45">
      <c r="B119"/>
      <c r="X119" s="39"/>
      <c r="AR119" s="126"/>
    </row>
    <row r="120" spans="2:44" x14ac:dyDescent="0.45">
      <c r="B120"/>
      <c r="X120" s="39"/>
      <c r="AR120" s="126"/>
    </row>
    <row r="121" spans="2:44" x14ac:dyDescent="0.45">
      <c r="B121"/>
      <c r="X121" s="39"/>
      <c r="AR121" s="126"/>
    </row>
    <row r="122" spans="2:44" x14ac:dyDescent="0.45">
      <c r="B122"/>
      <c r="X122" s="39"/>
      <c r="AR122" s="126"/>
    </row>
    <row r="123" spans="2:44" x14ac:dyDescent="0.45">
      <c r="B123"/>
      <c r="X123" s="39"/>
      <c r="AR123" s="126"/>
    </row>
    <row r="124" spans="2:44" x14ac:dyDescent="0.45">
      <c r="B124"/>
      <c r="X124" s="39"/>
    </row>
    <row r="125" spans="2:44" x14ac:dyDescent="0.45">
      <c r="B125"/>
      <c r="X125" s="39"/>
    </row>
    <row r="126" spans="2:44" x14ac:dyDescent="0.45">
      <c r="B126"/>
      <c r="X126" s="39"/>
    </row>
    <row r="127" spans="2:44" x14ac:dyDescent="0.45">
      <c r="B127"/>
      <c r="X127" s="39"/>
    </row>
    <row r="128" spans="2:44" x14ac:dyDescent="0.45">
      <c r="B128"/>
      <c r="X128" s="39"/>
    </row>
    <row r="129" spans="2:24" x14ac:dyDescent="0.45">
      <c r="B129"/>
      <c r="X129" s="39"/>
    </row>
    <row r="130" spans="2:24" x14ac:dyDescent="0.45">
      <c r="B130"/>
      <c r="X130" s="39"/>
    </row>
    <row r="131" spans="2:24" x14ac:dyDescent="0.45">
      <c r="B131"/>
      <c r="X131" s="39"/>
    </row>
    <row r="132" spans="2:24" x14ac:dyDescent="0.45">
      <c r="B132"/>
      <c r="X132" s="39"/>
    </row>
    <row r="133" spans="2:24" x14ac:dyDescent="0.45">
      <c r="X133" s="39"/>
    </row>
    <row r="134" spans="2:24" x14ac:dyDescent="0.45">
      <c r="X134" s="39"/>
    </row>
    <row r="135" spans="2:24" x14ac:dyDescent="0.45">
      <c r="X135" s="39"/>
    </row>
    <row r="136" spans="2:24" x14ac:dyDescent="0.45">
      <c r="X136" s="39"/>
    </row>
    <row r="137" spans="2:24" x14ac:dyDescent="0.45">
      <c r="X137" s="39"/>
    </row>
    <row r="138" spans="2:24" x14ac:dyDescent="0.45">
      <c r="X138" s="39"/>
    </row>
    <row r="139" spans="2:24" x14ac:dyDescent="0.45">
      <c r="X139" s="39"/>
    </row>
    <row r="140" spans="2:24" x14ac:dyDescent="0.45">
      <c r="L140" s="39"/>
      <c r="W140" s="39"/>
    </row>
    <row r="141" spans="2:24" x14ac:dyDescent="0.45">
      <c r="L141" s="39"/>
      <c r="W141" s="39"/>
    </row>
    <row r="142" spans="2:24" x14ac:dyDescent="0.45">
      <c r="L142" s="39"/>
      <c r="W142" s="39"/>
    </row>
    <row r="143" spans="2:24" x14ac:dyDescent="0.45">
      <c r="L143" s="39"/>
      <c r="W143" s="39"/>
    </row>
    <row r="144" spans="2:24" x14ac:dyDescent="0.45">
      <c r="L144" s="39"/>
      <c r="W144" s="39"/>
    </row>
    <row r="145" spans="12:23" x14ac:dyDescent="0.45">
      <c r="L145" s="39"/>
      <c r="W145" s="39"/>
    </row>
    <row r="146" spans="12:23" x14ac:dyDescent="0.45">
      <c r="L146" s="39"/>
      <c r="W146" s="39"/>
    </row>
    <row r="147" spans="12:23" x14ac:dyDescent="0.45">
      <c r="L147" s="39"/>
      <c r="W147" s="39"/>
    </row>
    <row r="148" spans="12:23" x14ac:dyDescent="0.45">
      <c r="L148" s="39"/>
      <c r="W148" s="39"/>
    </row>
    <row r="149" spans="12:23" x14ac:dyDescent="0.45">
      <c r="L149" s="39"/>
      <c r="W149" s="39"/>
    </row>
    <row r="150" spans="12:23" x14ac:dyDescent="0.45">
      <c r="L150" s="39"/>
      <c r="W150" s="39"/>
    </row>
    <row r="151" spans="12:23" x14ac:dyDescent="0.45">
      <c r="L151" s="39"/>
      <c r="W151" s="39"/>
    </row>
    <row r="152" spans="12:23" x14ac:dyDescent="0.45">
      <c r="L152" s="39"/>
      <c r="W152" s="39"/>
    </row>
    <row r="153" spans="12:23" x14ac:dyDescent="0.45">
      <c r="L153" s="39"/>
      <c r="W153" s="39"/>
    </row>
    <row r="154" spans="12:23" x14ac:dyDescent="0.45">
      <c r="L154" s="39"/>
      <c r="W154" s="39"/>
    </row>
    <row r="155" spans="12:23" x14ac:dyDescent="0.45">
      <c r="L155" s="39"/>
      <c r="W155" s="39"/>
    </row>
    <row r="156" spans="12:23" x14ac:dyDescent="0.45">
      <c r="L156" s="39"/>
      <c r="W156" s="39"/>
    </row>
    <row r="157" spans="12:23" x14ac:dyDescent="0.45">
      <c r="L157" s="39"/>
      <c r="W157" s="39"/>
    </row>
    <row r="158" spans="12:23" x14ac:dyDescent="0.45">
      <c r="L158" s="39"/>
      <c r="W158" s="39"/>
    </row>
    <row r="159" spans="12:23" x14ac:dyDescent="0.45">
      <c r="L159" s="39"/>
      <c r="W159" s="39"/>
    </row>
    <row r="160" spans="12:23" x14ac:dyDescent="0.45">
      <c r="L160" s="39"/>
      <c r="W160" s="39"/>
    </row>
    <row r="161" spans="12:23" x14ac:dyDescent="0.45">
      <c r="L161" s="39"/>
      <c r="W161" s="39"/>
    </row>
    <row r="162" spans="12:23" x14ac:dyDescent="0.45">
      <c r="L162" s="39"/>
      <c r="W162" s="39"/>
    </row>
    <row r="163" spans="12:23" x14ac:dyDescent="0.45">
      <c r="L163" s="39"/>
      <c r="W163" s="39"/>
    </row>
    <row r="164" spans="12:23" x14ac:dyDescent="0.45">
      <c r="L164" s="39"/>
      <c r="W164" s="39"/>
    </row>
    <row r="165" spans="12:23" x14ac:dyDescent="0.45">
      <c r="L165" s="39"/>
      <c r="W165" s="39"/>
    </row>
    <row r="166" spans="12:23" x14ac:dyDescent="0.45">
      <c r="L166" s="39"/>
      <c r="W166" s="39"/>
    </row>
    <row r="167" spans="12:23" x14ac:dyDescent="0.45">
      <c r="L167" s="39"/>
      <c r="W167" s="39"/>
    </row>
    <row r="168" spans="12:23" x14ac:dyDescent="0.45">
      <c r="L168" s="39"/>
      <c r="W168" s="39"/>
    </row>
    <row r="169" spans="12:23" x14ac:dyDescent="0.45">
      <c r="L169" s="39"/>
      <c r="W169" s="39"/>
    </row>
    <row r="170" spans="12:23" x14ac:dyDescent="0.45">
      <c r="L170" s="39"/>
      <c r="W170" s="39"/>
    </row>
    <row r="171" spans="12:23" x14ac:dyDescent="0.45">
      <c r="L171" s="39"/>
      <c r="W171" s="39"/>
    </row>
    <row r="172" spans="12:23" x14ac:dyDescent="0.45">
      <c r="L172" s="39"/>
      <c r="W172" s="39"/>
    </row>
    <row r="173" spans="12:23" x14ac:dyDescent="0.45">
      <c r="L173" s="39"/>
      <c r="W173" s="39"/>
    </row>
    <row r="174" spans="12:23" x14ac:dyDescent="0.45">
      <c r="L174" s="39"/>
      <c r="W174" s="39"/>
    </row>
    <row r="175" spans="12:23" x14ac:dyDescent="0.45">
      <c r="L175" s="39"/>
      <c r="W175" s="39"/>
    </row>
    <row r="176" spans="12:23" x14ac:dyDescent="0.45">
      <c r="L176" s="39"/>
      <c r="W176" s="39"/>
    </row>
    <row r="177" spans="12:23" x14ac:dyDescent="0.45">
      <c r="L177" s="39"/>
      <c r="W177" s="39"/>
    </row>
    <row r="178" spans="12:23" x14ac:dyDescent="0.45">
      <c r="L178" s="39"/>
      <c r="W178" s="39"/>
    </row>
    <row r="179" spans="12:23" x14ac:dyDescent="0.45">
      <c r="L179" s="39"/>
      <c r="W179" s="39"/>
    </row>
    <row r="180" spans="12:23" x14ac:dyDescent="0.45">
      <c r="L180" s="39"/>
      <c r="W180" s="39"/>
    </row>
    <row r="181" spans="12:23" x14ac:dyDescent="0.45">
      <c r="L181" s="39"/>
      <c r="W181" s="39"/>
    </row>
    <row r="182" spans="12:23" x14ac:dyDescent="0.45">
      <c r="L182" s="39"/>
      <c r="W182" s="39"/>
    </row>
    <row r="183" spans="12:23" x14ac:dyDescent="0.45">
      <c r="L183" s="39"/>
      <c r="W183" s="39"/>
    </row>
    <row r="184" spans="12:23" x14ac:dyDescent="0.45">
      <c r="L184" s="39"/>
      <c r="W184" s="39"/>
    </row>
    <row r="185" spans="12:23" x14ac:dyDescent="0.45">
      <c r="L185" s="39"/>
      <c r="W185" s="39"/>
    </row>
    <row r="186" spans="12:23" x14ac:dyDescent="0.45">
      <c r="L186" s="39"/>
      <c r="W186" s="39"/>
    </row>
    <row r="187" spans="12:23" x14ac:dyDescent="0.45">
      <c r="L187" s="39"/>
      <c r="W187" s="39"/>
    </row>
    <row r="188" spans="12:23" x14ac:dyDescent="0.45">
      <c r="L188" s="39"/>
      <c r="W188" s="39"/>
    </row>
    <row r="189" spans="12:23" x14ac:dyDescent="0.45">
      <c r="L189" s="39"/>
      <c r="W189" s="39"/>
    </row>
    <row r="190" spans="12:23" x14ac:dyDescent="0.45">
      <c r="L190" s="39"/>
      <c r="W190" s="39"/>
    </row>
    <row r="191" spans="12:23" x14ac:dyDescent="0.45">
      <c r="L191" s="39"/>
    </row>
    <row r="192" spans="12:23" x14ac:dyDescent="0.45">
      <c r="L192" s="39"/>
    </row>
    <row r="193" spans="12:12" x14ac:dyDescent="0.45">
      <c r="L193" s="39"/>
    </row>
    <row r="194" spans="12:12" x14ac:dyDescent="0.45">
      <c r="L194" s="39"/>
    </row>
    <row r="195" spans="12:12" x14ac:dyDescent="0.45">
      <c r="L195" s="39"/>
    </row>
    <row r="196" spans="12:12" x14ac:dyDescent="0.45">
      <c r="L196" s="39"/>
    </row>
    <row r="197" spans="12:12" x14ac:dyDescent="0.45">
      <c r="L197" s="39"/>
    </row>
    <row r="198" spans="12:12" x14ac:dyDescent="0.45">
      <c r="L198" s="39"/>
    </row>
    <row r="199" spans="12:12" x14ac:dyDescent="0.45">
      <c r="L199" s="39"/>
    </row>
    <row r="200" spans="12:12" x14ac:dyDescent="0.45">
      <c r="L200" s="39"/>
    </row>
    <row r="201" spans="12:12" x14ac:dyDescent="0.45">
      <c r="L201" s="39"/>
    </row>
    <row r="202" spans="12:12" x14ac:dyDescent="0.45">
      <c r="L202" s="39"/>
    </row>
    <row r="203" spans="12:12" x14ac:dyDescent="0.45">
      <c r="L203" s="39"/>
    </row>
    <row r="204" spans="12:12" x14ac:dyDescent="0.45">
      <c r="L204" s="39"/>
    </row>
    <row r="205" spans="12:12" x14ac:dyDescent="0.45">
      <c r="L205" s="39"/>
    </row>
    <row r="206" spans="12:12" x14ac:dyDescent="0.45">
      <c r="L206" s="39"/>
    </row>
    <row r="207" spans="12:12" x14ac:dyDescent="0.45">
      <c r="L207" s="39"/>
    </row>
    <row r="208" spans="12:12" x14ac:dyDescent="0.45">
      <c r="L208" s="39"/>
    </row>
    <row r="209" spans="12:12" x14ac:dyDescent="0.45">
      <c r="L209" s="39"/>
    </row>
    <row r="210" spans="12:12" x14ac:dyDescent="0.45">
      <c r="L210" s="39"/>
    </row>
    <row r="211" spans="12:12" x14ac:dyDescent="0.45">
      <c r="L211" s="39"/>
    </row>
    <row r="212" spans="12:12" x14ac:dyDescent="0.45">
      <c r="L212" s="39"/>
    </row>
    <row r="213" spans="12:12" x14ac:dyDescent="0.45">
      <c r="L213" s="39"/>
    </row>
    <row r="214" spans="12:12" x14ac:dyDescent="0.45">
      <c r="L214" s="39"/>
    </row>
    <row r="215" spans="12:12" x14ac:dyDescent="0.45">
      <c r="L215" s="39"/>
    </row>
    <row r="216" spans="12:12" x14ac:dyDescent="0.45">
      <c r="L216" s="39"/>
    </row>
    <row r="217" spans="12:12" x14ac:dyDescent="0.45">
      <c r="L217" s="39"/>
    </row>
    <row r="218" spans="12:12" x14ac:dyDescent="0.45">
      <c r="L218" s="39"/>
    </row>
    <row r="219" spans="12:12" x14ac:dyDescent="0.45">
      <c r="L219" s="39"/>
    </row>
    <row r="220" spans="12:12" x14ac:dyDescent="0.45">
      <c r="L220" s="39"/>
    </row>
    <row r="221" spans="12:12" x14ac:dyDescent="0.45">
      <c r="L221" s="39"/>
    </row>
    <row r="222" spans="12:12" x14ac:dyDescent="0.45">
      <c r="L222" s="39"/>
    </row>
    <row r="223" spans="12:12" x14ac:dyDescent="0.45">
      <c r="L223" s="39"/>
    </row>
    <row r="224" spans="12:12" x14ac:dyDescent="0.45">
      <c r="L224" s="39"/>
    </row>
    <row r="225" spans="12:12" x14ac:dyDescent="0.45">
      <c r="L225" s="39"/>
    </row>
    <row r="226" spans="12:12" x14ac:dyDescent="0.45">
      <c r="L226" s="39"/>
    </row>
    <row r="227" spans="12:12" x14ac:dyDescent="0.45">
      <c r="L227" s="39"/>
    </row>
  </sheetData>
  <pageMargins left="0.7" right="0.7" top="0.75" bottom="0.75" header="0.3" footer="0.3"/>
  <pageSetup paperSize="119" orientation="portrait" horizontalDpi="4294967293"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441"/>
  <sheetViews>
    <sheetView workbookViewId="0"/>
  </sheetViews>
  <sheetFormatPr defaultRowHeight="14.25" x14ac:dyDescent="0.45"/>
  <cols>
    <col min="1" max="1" width="27.73046875" customWidth="1"/>
    <col min="2" max="5" width="9.3984375" bestFit="1" customWidth="1"/>
    <col min="6" max="6" width="9.73046875" bestFit="1" customWidth="1"/>
    <col min="7" max="7" width="10.73046875" bestFit="1" customWidth="1"/>
    <col min="8" max="8" width="10.59765625" bestFit="1" customWidth="1"/>
    <col min="9" max="9" width="9.73046875" bestFit="1" customWidth="1"/>
    <col min="10" max="10" width="9.3984375" bestFit="1" customWidth="1"/>
    <col min="11" max="11" width="10.59765625" bestFit="1" customWidth="1"/>
    <col min="13" max="13" width="6.59765625" customWidth="1"/>
    <col min="14" max="14" width="25.73046875" customWidth="1"/>
    <col min="15" max="22" width="10.73046875" customWidth="1"/>
    <col min="23" max="23" width="10.73046875" style="180" customWidth="1"/>
    <col min="24" max="61" width="10.73046875" customWidth="1"/>
    <col min="62" max="63" width="11.59765625" bestFit="1" customWidth="1"/>
    <col min="64" max="67" width="9.86328125" bestFit="1" customWidth="1"/>
    <col min="68" max="69" width="9.3984375" bestFit="1" customWidth="1"/>
    <col min="70" max="70" width="9.86328125" bestFit="1" customWidth="1"/>
  </cols>
  <sheetData>
    <row r="1" spans="1:71" x14ac:dyDescent="0.45">
      <c r="A1" s="1" t="s">
        <v>71</v>
      </c>
      <c r="D1" t="s">
        <v>29</v>
      </c>
      <c r="Q1" t="s">
        <v>29</v>
      </c>
    </row>
    <row r="2" spans="1:71" x14ac:dyDescent="0.45">
      <c r="A2" s="1" t="s">
        <v>59</v>
      </c>
    </row>
    <row r="3" spans="1:71" x14ac:dyDescent="0.45">
      <c r="A3" s="1" t="s">
        <v>155</v>
      </c>
      <c r="N3" s="1" t="s">
        <v>254</v>
      </c>
      <c r="O3" s="1"/>
      <c r="P3" s="2"/>
      <c r="Q3" s="2"/>
      <c r="R3" s="2"/>
    </row>
    <row r="4" spans="1:71" x14ac:dyDescent="0.45">
      <c r="N4" s="1" t="s">
        <v>60</v>
      </c>
      <c r="O4" s="2"/>
      <c r="P4" s="2"/>
      <c r="Q4" s="2"/>
      <c r="R4" s="2"/>
    </row>
    <row r="5" spans="1:71" x14ac:dyDescent="0.45">
      <c r="A5" s="27" t="s">
        <v>68</v>
      </c>
      <c r="B5" s="1" t="s">
        <v>20</v>
      </c>
      <c r="C5" s="1"/>
      <c r="D5" s="1"/>
      <c r="E5" s="1" t="s">
        <v>21</v>
      </c>
      <c r="F5" s="1"/>
      <c r="G5" s="1"/>
      <c r="H5" s="1"/>
      <c r="I5" s="1"/>
      <c r="J5" s="1"/>
      <c r="K5" s="1"/>
      <c r="N5" s="2"/>
      <c r="O5" s="2"/>
      <c r="P5" s="2"/>
      <c r="Q5" s="2"/>
      <c r="R5" s="2"/>
    </row>
    <row r="6" spans="1:71" ht="15.4" x14ac:dyDescent="0.45">
      <c r="A6" s="26" t="s">
        <v>19</v>
      </c>
      <c r="B6" s="117">
        <v>16</v>
      </c>
      <c r="C6" s="117">
        <v>21</v>
      </c>
      <c r="D6" s="117">
        <v>26</v>
      </c>
      <c r="E6" s="117">
        <v>1</v>
      </c>
      <c r="F6" s="117">
        <v>6</v>
      </c>
      <c r="G6" s="117">
        <v>11</v>
      </c>
      <c r="H6" s="117">
        <v>16</v>
      </c>
      <c r="I6" s="117">
        <v>21</v>
      </c>
      <c r="J6" s="117">
        <v>26</v>
      </c>
      <c r="K6" s="8" t="s">
        <v>24</v>
      </c>
      <c r="M6" s="97" t="s">
        <v>703</v>
      </c>
      <c r="N6" s="230" t="s">
        <v>39</v>
      </c>
      <c r="O6" s="231">
        <v>2009</v>
      </c>
      <c r="P6" s="232">
        <v>2010</v>
      </c>
      <c r="Q6" s="232">
        <v>2011</v>
      </c>
      <c r="R6" s="97">
        <v>2012</v>
      </c>
      <c r="S6" s="174">
        <v>2013</v>
      </c>
      <c r="T6" s="174">
        <v>2014</v>
      </c>
      <c r="U6" s="97">
        <v>2015</v>
      </c>
      <c r="V6" s="174">
        <v>2016</v>
      </c>
      <c r="W6" s="174">
        <v>2017</v>
      </c>
      <c r="X6" s="174">
        <v>2018</v>
      </c>
      <c r="Y6" s="97">
        <v>2019</v>
      </c>
      <c r="Z6" s="97" t="s">
        <v>61</v>
      </c>
      <c r="BS6" s="146"/>
    </row>
    <row r="7" spans="1:71" ht="15.4" x14ac:dyDescent="0.45">
      <c r="A7" s="3" t="s">
        <v>1</v>
      </c>
      <c r="B7" s="86">
        <v>0</v>
      </c>
      <c r="C7" s="86">
        <v>0</v>
      </c>
      <c r="D7" s="86">
        <v>0</v>
      </c>
      <c r="E7" s="86">
        <v>0</v>
      </c>
      <c r="F7" s="86">
        <v>15</v>
      </c>
      <c r="G7" s="86">
        <v>81</v>
      </c>
      <c r="H7" s="86">
        <v>34</v>
      </c>
      <c r="I7" s="86">
        <v>34</v>
      </c>
      <c r="J7" s="86">
        <v>30</v>
      </c>
      <c r="K7" s="86">
        <v>194</v>
      </c>
      <c r="M7" s="125">
        <v>1</v>
      </c>
      <c r="N7" s="21" t="s">
        <v>11</v>
      </c>
      <c r="O7" s="23">
        <v>3229</v>
      </c>
      <c r="P7" s="20">
        <v>4996</v>
      </c>
      <c r="Q7" s="33">
        <v>4100</v>
      </c>
      <c r="R7" s="86">
        <v>16375</v>
      </c>
      <c r="S7" s="86">
        <v>7964</v>
      </c>
      <c r="T7" s="86">
        <v>4000</v>
      </c>
      <c r="U7" s="86">
        <v>2267</v>
      </c>
      <c r="V7" s="86">
        <v>1403</v>
      </c>
      <c r="W7" s="86">
        <v>7225</v>
      </c>
      <c r="X7" s="86">
        <v>14508</v>
      </c>
      <c r="Y7" s="86">
        <v>2941</v>
      </c>
      <c r="Z7" s="86">
        <f>SUM(O7:Y7)/11</f>
        <v>6273.454545454545</v>
      </c>
      <c r="BS7" s="146"/>
    </row>
    <row r="8" spans="1:71" ht="15.4" x14ac:dyDescent="0.45">
      <c r="A8" s="3" t="s">
        <v>49</v>
      </c>
      <c r="B8" s="86">
        <v>0</v>
      </c>
      <c r="C8" s="86">
        <v>0</v>
      </c>
      <c r="D8" s="86">
        <v>0</v>
      </c>
      <c r="E8" s="86">
        <v>0</v>
      </c>
      <c r="F8" s="86">
        <v>0</v>
      </c>
      <c r="G8" s="86">
        <v>0</v>
      </c>
      <c r="H8" s="86">
        <v>0</v>
      </c>
      <c r="I8" s="86">
        <v>0</v>
      </c>
      <c r="J8" s="86">
        <v>0</v>
      </c>
      <c r="K8" s="86">
        <v>0</v>
      </c>
      <c r="M8" s="166"/>
      <c r="N8" s="180" t="s">
        <v>18</v>
      </c>
      <c r="O8" s="25">
        <v>104</v>
      </c>
      <c r="P8" s="24">
        <v>803</v>
      </c>
      <c r="Q8" s="60">
        <v>3336</v>
      </c>
      <c r="R8" s="86">
        <v>844</v>
      </c>
      <c r="S8" s="86">
        <v>5305</v>
      </c>
      <c r="T8" s="86">
        <v>987</v>
      </c>
      <c r="U8" s="86">
        <v>306</v>
      </c>
      <c r="V8" s="86">
        <v>6269</v>
      </c>
      <c r="W8" s="86">
        <v>360</v>
      </c>
      <c r="X8" s="86">
        <v>404</v>
      </c>
      <c r="Y8" s="130">
        <v>922</v>
      </c>
      <c r="Z8" s="86">
        <f t="shared" ref="Z8:Z42" si="0">SUM(O8:Y8)/11</f>
        <v>1785.4545454545455</v>
      </c>
      <c r="BS8" s="146"/>
    </row>
    <row r="9" spans="1:71" ht="15.4" x14ac:dyDescent="0.45">
      <c r="A9" s="3" t="s">
        <v>45</v>
      </c>
      <c r="B9" s="86">
        <v>0</v>
      </c>
      <c r="C9" s="86">
        <v>0</v>
      </c>
      <c r="D9" s="86">
        <v>0</v>
      </c>
      <c r="E9" s="86">
        <v>0</v>
      </c>
      <c r="F9" s="86">
        <v>0</v>
      </c>
      <c r="G9" s="86">
        <v>1</v>
      </c>
      <c r="H9" s="86">
        <v>2</v>
      </c>
      <c r="I9" s="86">
        <v>0</v>
      </c>
      <c r="J9" s="86">
        <v>0</v>
      </c>
      <c r="K9" s="86">
        <v>3</v>
      </c>
      <c r="M9" s="125">
        <v>2</v>
      </c>
      <c r="N9" s="35" t="s">
        <v>17</v>
      </c>
      <c r="O9" s="23">
        <v>1630</v>
      </c>
      <c r="P9" s="20">
        <v>1500</v>
      </c>
      <c r="Q9" s="20">
        <v>5152</v>
      </c>
      <c r="R9" s="86">
        <v>1501</v>
      </c>
      <c r="S9" s="86">
        <v>703</v>
      </c>
      <c r="T9" s="130">
        <v>3006</v>
      </c>
      <c r="U9" s="130">
        <v>1503</v>
      </c>
      <c r="V9" s="86">
        <v>39</v>
      </c>
      <c r="W9" s="86">
        <v>102</v>
      </c>
      <c r="X9" s="86">
        <v>1025</v>
      </c>
      <c r="Y9" s="130">
        <v>2513</v>
      </c>
      <c r="Z9" s="86">
        <f t="shared" si="0"/>
        <v>1697.6363636363637</v>
      </c>
      <c r="BS9" s="146"/>
    </row>
    <row r="10" spans="1:71" ht="15.4" x14ac:dyDescent="0.45">
      <c r="A10" s="3" t="s">
        <v>41</v>
      </c>
      <c r="B10" s="86">
        <v>0</v>
      </c>
      <c r="C10" s="86">
        <v>1</v>
      </c>
      <c r="D10" s="86">
        <v>0</v>
      </c>
      <c r="E10" s="86">
        <v>0</v>
      </c>
      <c r="F10" s="86">
        <v>4</v>
      </c>
      <c r="G10" s="86">
        <v>0</v>
      </c>
      <c r="H10" s="86">
        <v>0</v>
      </c>
      <c r="I10" s="86">
        <v>0</v>
      </c>
      <c r="J10" s="86">
        <v>0</v>
      </c>
      <c r="K10" s="86">
        <v>5</v>
      </c>
      <c r="M10" s="125">
        <v>3</v>
      </c>
      <c r="N10" s="2" t="s">
        <v>9</v>
      </c>
      <c r="O10" s="23">
        <v>292</v>
      </c>
      <c r="P10" s="20">
        <v>110</v>
      </c>
      <c r="Q10" s="60">
        <v>574</v>
      </c>
      <c r="R10" s="86">
        <v>2919</v>
      </c>
      <c r="S10" s="86">
        <v>748</v>
      </c>
      <c r="T10" s="86">
        <v>2644</v>
      </c>
      <c r="U10" s="86">
        <v>2111</v>
      </c>
      <c r="V10" s="86">
        <v>1335</v>
      </c>
      <c r="W10" s="86">
        <v>1186</v>
      </c>
      <c r="X10" s="86">
        <v>715</v>
      </c>
      <c r="Y10" s="86">
        <v>850</v>
      </c>
      <c r="Z10" s="86">
        <f t="shared" si="0"/>
        <v>1225.8181818181818</v>
      </c>
      <c r="BS10" s="146"/>
    </row>
    <row r="11" spans="1:71" ht="15.4" x14ac:dyDescent="0.45">
      <c r="A11" s="3" t="s">
        <v>2</v>
      </c>
      <c r="B11" s="86">
        <v>0</v>
      </c>
      <c r="C11" s="86">
        <v>2</v>
      </c>
      <c r="D11" s="86">
        <v>5</v>
      </c>
      <c r="E11" s="86">
        <v>68</v>
      </c>
      <c r="F11" s="86">
        <v>37</v>
      </c>
      <c r="G11" s="86">
        <v>51</v>
      </c>
      <c r="H11" s="86">
        <v>14</v>
      </c>
      <c r="I11" s="86">
        <v>2</v>
      </c>
      <c r="J11" s="86">
        <v>0</v>
      </c>
      <c r="K11" s="86">
        <v>179</v>
      </c>
      <c r="M11" s="125">
        <v>4</v>
      </c>
      <c r="N11" s="2" t="s">
        <v>14</v>
      </c>
      <c r="O11" s="25">
        <v>1097</v>
      </c>
      <c r="P11" s="20">
        <v>561</v>
      </c>
      <c r="Q11" s="60">
        <v>1283</v>
      </c>
      <c r="R11" s="86">
        <v>1205</v>
      </c>
      <c r="S11" s="86">
        <v>2548</v>
      </c>
      <c r="T11" s="86">
        <v>1530</v>
      </c>
      <c r="U11" s="86">
        <v>826</v>
      </c>
      <c r="V11" s="86">
        <v>508</v>
      </c>
      <c r="W11" s="86">
        <v>590</v>
      </c>
      <c r="X11" s="86">
        <v>928</v>
      </c>
      <c r="Y11" s="86">
        <v>579</v>
      </c>
      <c r="Z11" s="86">
        <f t="shared" si="0"/>
        <v>1059.5454545454545</v>
      </c>
      <c r="BS11" s="146"/>
    </row>
    <row r="12" spans="1:71" ht="15.4" x14ac:dyDescent="0.45">
      <c r="A12" s="3" t="s">
        <v>43</v>
      </c>
      <c r="B12" s="86">
        <v>0</v>
      </c>
      <c r="C12" s="86">
        <v>0</v>
      </c>
      <c r="D12" s="86">
        <v>0</v>
      </c>
      <c r="E12" s="86">
        <v>2</v>
      </c>
      <c r="F12" s="86">
        <v>2</v>
      </c>
      <c r="G12" s="86">
        <v>4</v>
      </c>
      <c r="H12" s="86">
        <v>3</v>
      </c>
      <c r="I12" s="86">
        <v>0</v>
      </c>
      <c r="J12" s="86">
        <v>0</v>
      </c>
      <c r="K12" s="86">
        <v>11</v>
      </c>
      <c r="M12" s="125">
        <v>5</v>
      </c>
      <c r="N12" s="2" t="s">
        <v>1</v>
      </c>
      <c r="O12" s="23">
        <v>194</v>
      </c>
      <c r="P12" s="20">
        <v>203</v>
      </c>
      <c r="Q12" s="60">
        <v>197</v>
      </c>
      <c r="R12" s="86">
        <v>142</v>
      </c>
      <c r="S12" s="86">
        <v>92</v>
      </c>
      <c r="T12" s="86">
        <v>251</v>
      </c>
      <c r="U12" s="86">
        <v>273</v>
      </c>
      <c r="V12" s="86">
        <v>270</v>
      </c>
      <c r="W12" s="86">
        <v>246</v>
      </c>
      <c r="X12" s="86">
        <v>322</v>
      </c>
      <c r="Y12" s="86">
        <v>204</v>
      </c>
      <c r="Z12" s="86">
        <f t="shared" si="0"/>
        <v>217.63636363636363</v>
      </c>
      <c r="BS12" s="146"/>
    </row>
    <row r="13" spans="1:71" ht="15.4" x14ac:dyDescent="0.45">
      <c r="A13" s="3" t="s">
        <v>3</v>
      </c>
      <c r="B13" s="86">
        <v>5</v>
      </c>
      <c r="C13" s="86">
        <v>0</v>
      </c>
      <c r="D13" s="86">
        <v>1</v>
      </c>
      <c r="E13" s="86">
        <v>4</v>
      </c>
      <c r="F13" s="86">
        <v>2</v>
      </c>
      <c r="G13" s="86">
        <v>5</v>
      </c>
      <c r="H13" s="86">
        <v>5</v>
      </c>
      <c r="I13" s="86">
        <v>1</v>
      </c>
      <c r="J13" s="86">
        <v>1</v>
      </c>
      <c r="K13" s="86">
        <v>24</v>
      </c>
      <c r="M13" s="125">
        <v>6</v>
      </c>
      <c r="N13" s="2" t="s">
        <v>2</v>
      </c>
      <c r="O13" s="23">
        <v>179</v>
      </c>
      <c r="P13" s="20">
        <v>315</v>
      </c>
      <c r="Q13" s="60">
        <v>282</v>
      </c>
      <c r="R13" s="86">
        <v>354</v>
      </c>
      <c r="S13" s="86">
        <v>221</v>
      </c>
      <c r="T13" s="86">
        <v>114</v>
      </c>
      <c r="U13" s="86">
        <v>210</v>
      </c>
      <c r="V13" s="86">
        <v>107</v>
      </c>
      <c r="W13" s="86">
        <v>80</v>
      </c>
      <c r="X13" s="86">
        <v>135</v>
      </c>
      <c r="Y13" s="86">
        <v>106</v>
      </c>
      <c r="Z13" s="86">
        <f t="shared" si="0"/>
        <v>191.18181818181819</v>
      </c>
      <c r="BS13" s="146"/>
    </row>
    <row r="14" spans="1:71" x14ac:dyDescent="0.45">
      <c r="A14" s="3" t="s">
        <v>4</v>
      </c>
      <c r="B14" s="86">
        <v>0</v>
      </c>
      <c r="C14" s="86">
        <v>0</v>
      </c>
      <c r="D14" s="86">
        <v>0</v>
      </c>
      <c r="E14" s="86">
        <v>0</v>
      </c>
      <c r="F14" s="86">
        <v>0</v>
      </c>
      <c r="G14" s="86">
        <v>0</v>
      </c>
      <c r="H14" s="86">
        <v>0</v>
      </c>
      <c r="I14" s="86">
        <v>0</v>
      </c>
      <c r="J14" s="86">
        <v>0</v>
      </c>
      <c r="K14" s="86">
        <v>0</v>
      </c>
      <c r="M14" s="125">
        <v>7</v>
      </c>
      <c r="N14" s="2" t="s">
        <v>12</v>
      </c>
      <c r="O14" s="23">
        <v>136</v>
      </c>
      <c r="P14" s="24">
        <v>245</v>
      </c>
      <c r="Q14" s="60">
        <v>219</v>
      </c>
      <c r="R14" s="86">
        <v>103</v>
      </c>
      <c r="S14" s="86">
        <v>128</v>
      </c>
      <c r="T14" s="86">
        <v>195</v>
      </c>
      <c r="U14" s="86">
        <v>168</v>
      </c>
      <c r="V14" s="86">
        <v>245</v>
      </c>
      <c r="W14" s="86">
        <v>102</v>
      </c>
      <c r="X14" s="86">
        <v>164</v>
      </c>
      <c r="Y14" s="86">
        <v>66</v>
      </c>
      <c r="Z14" s="86">
        <f t="shared" si="0"/>
        <v>161</v>
      </c>
    </row>
    <row r="15" spans="1:71" x14ac:dyDescent="0.45">
      <c r="A15" s="3" t="s">
        <v>48</v>
      </c>
      <c r="B15" s="86">
        <v>0</v>
      </c>
      <c r="C15" s="86">
        <v>0</v>
      </c>
      <c r="D15" s="86">
        <v>0</v>
      </c>
      <c r="E15" s="86">
        <v>0</v>
      </c>
      <c r="F15" s="86">
        <v>0</v>
      </c>
      <c r="G15" s="86">
        <v>0</v>
      </c>
      <c r="H15" s="86">
        <v>0</v>
      </c>
      <c r="I15" s="86">
        <v>2</v>
      </c>
      <c r="J15" s="86">
        <v>0</v>
      </c>
      <c r="K15" s="86">
        <v>2</v>
      </c>
      <c r="M15" s="125">
        <v>8</v>
      </c>
      <c r="N15" s="2" t="s">
        <v>10</v>
      </c>
      <c r="O15" s="25">
        <v>81</v>
      </c>
      <c r="P15" s="20">
        <v>373</v>
      </c>
      <c r="Q15" s="60">
        <v>121</v>
      </c>
      <c r="R15" s="86">
        <v>71</v>
      </c>
      <c r="S15" s="86">
        <v>21</v>
      </c>
      <c r="T15" s="86">
        <v>56</v>
      </c>
      <c r="U15" s="86">
        <v>352</v>
      </c>
      <c r="V15" s="86">
        <v>55</v>
      </c>
      <c r="W15" s="86">
        <v>122</v>
      </c>
      <c r="X15" s="86">
        <v>92</v>
      </c>
      <c r="Y15" s="86">
        <v>22</v>
      </c>
      <c r="Z15" s="86">
        <f t="shared" si="0"/>
        <v>124.18181818181819</v>
      </c>
    </row>
    <row r="16" spans="1:71" x14ac:dyDescent="0.45">
      <c r="A16" s="3" t="s">
        <v>6</v>
      </c>
      <c r="B16" s="86">
        <v>0</v>
      </c>
      <c r="C16" s="86">
        <v>0</v>
      </c>
      <c r="D16" s="86">
        <v>0</v>
      </c>
      <c r="E16" s="86">
        <v>0</v>
      </c>
      <c r="F16" s="86">
        <v>0</v>
      </c>
      <c r="G16" s="86">
        <v>0</v>
      </c>
      <c r="H16" s="86">
        <v>0</v>
      </c>
      <c r="I16" s="86">
        <v>0</v>
      </c>
      <c r="J16" s="86">
        <v>3</v>
      </c>
      <c r="K16" s="86">
        <v>3</v>
      </c>
      <c r="N16" s="2" t="s">
        <v>47</v>
      </c>
      <c r="O16" s="25">
        <v>99</v>
      </c>
      <c r="P16" s="24">
        <v>82</v>
      </c>
      <c r="Q16" s="60">
        <v>57</v>
      </c>
      <c r="R16" s="86">
        <v>76</v>
      </c>
      <c r="S16" s="86">
        <v>344</v>
      </c>
      <c r="T16" s="86">
        <v>49</v>
      </c>
      <c r="U16" s="86">
        <v>65</v>
      </c>
      <c r="V16" s="86">
        <v>17</v>
      </c>
      <c r="W16" s="86">
        <v>14</v>
      </c>
      <c r="X16" s="86">
        <v>139</v>
      </c>
      <c r="Y16" s="86">
        <v>176</v>
      </c>
      <c r="Z16" s="86">
        <f>SUM(O16:Y16)/11</f>
        <v>101.63636363636364</v>
      </c>
    </row>
    <row r="17" spans="1:28" x14ac:dyDescent="0.45">
      <c r="A17" s="3" t="s">
        <v>7</v>
      </c>
      <c r="B17" s="86">
        <v>0</v>
      </c>
      <c r="C17" s="86">
        <v>0</v>
      </c>
      <c r="D17" s="86">
        <v>0</v>
      </c>
      <c r="E17" s="86">
        <v>1</v>
      </c>
      <c r="F17" s="86">
        <v>0</v>
      </c>
      <c r="G17" s="86">
        <v>9</v>
      </c>
      <c r="H17" s="86">
        <v>0</v>
      </c>
      <c r="I17" s="86">
        <v>0</v>
      </c>
      <c r="J17" s="86">
        <v>0</v>
      </c>
      <c r="K17" s="86">
        <v>10</v>
      </c>
      <c r="M17" s="125">
        <v>9</v>
      </c>
      <c r="N17" s="2" t="s">
        <v>40</v>
      </c>
      <c r="O17" s="25">
        <v>141</v>
      </c>
      <c r="P17" s="20">
        <v>405</v>
      </c>
      <c r="Q17" s="24">
        <v>482</v>
      </c>
      <c r="R17" s="86">
        <v>6</v>
      </c>
      <c r="S17" s="86">
        <v>4</v>
      </c>
      <c r="T17" s="86">
        <v>6</v>
      </c>
      <c r="U17" s="86">
        <v>6</v>
      </c>
      <c r="V17" s="86">
        <v>4</v>
      </c>
      <c r="W17" s="86">
        <v>47</v>
      </c>
      <c r="X17" s="86">
        <v>12</v>
      </c>
      <c r="Y17" s="86">
        <v>3</v>
      </c>
      <c r="Z17" s="86">
        <f>SUM(O17:Y17)/11</f>
        <v>101.45454545454545</v>
      </c>
      <c r="AB17" s="126"/>
    </row>
    <row r="18" spans="1:28" x14ac:dyDescent="0.45">
      <c r="A18" s="3" t="s">
        <v>50</v>
      </c>
      <c r="B18" s="86">
        <v>0</v>
      </c>
      <c r="C18" s="86">
        <v>0</v>
      </c>
      <c r="D18" s="86">
        <v>0</v>
      </c>
      <c r="E18" s="86">
        <v>0</v>
      </c>
      <c r="F18" s="86">
        <v>0</v>
      </c>
      <c r="G18" s="86">
        <v>3</v>
      </c>
      <c r="H18" s="86">
        <v>0</v>
      </c>
      <c r="I18" s="86">
        <v>0</v>
      </c>
      <c r="J18" s="86">
        <v>0</v>
      </c>
      <c r="K18" s="86">
        <v>3</v>
      </c>
      <c r="M18" s="125">
        <v>10</v>
      </c>
      <c r="N18" s="2" t="s">
        <v>3</v>
      </c>
      <c r="O18" s="23">
        <v>24</v>
      </c>
      <c r="P18" s="20">
        <v>36</v>
      </c>
      <c r="Q18" s="60">
        <v>59</v>
      </c>
      <c r="R18" s="86">
        <v>68</v>
      </c>
      <c r="S18" s="86">
        <v>90</v>
      </c>
      <c r="T18" s="86">
        <v>24</v>
      </c>
      <c r="U18" s="86">
        <v>39</v>
      </c>
      <c r="V18" s="86">
        <v>44</v>
      </c>
      <c r="W18" s="86">
        <v>58</v>
      </c>
      <c r="X18" s="86">
        <v>59</v>
      </c>
      <c r="Y18" s="86">
        <v>88</v>
      </c>
      <c r="Z18" s="86">
        <f t="shared" si="0"/>
        <v>53.545454545454547</v>
      </c>
    </row>
    <row r="19" spans="1:28" x14ac:dyDescent="0.45">
      <c r="A19" s="3" t="s">
        <v>51</v>
      </c>
      <c r="B19" s="86">
        <v>0</v>
      </c>
      <c r="C19" s="86">
        <v>0</v>
      </c>
      <c r="D19" s="86">
        <v>0</v>
      </c>
      <c r="E19" s="86">
        <v>0</v>
      </c>
      <c r="F19" s="86">
        <v>18</v>
      </c>
      <c r="G19" s="86">
        <v>0</v>
      </c>
      <c r="H19" s="86">
        <v>0</v>
      </c>
      <c r="I19" s="86">
        <v>0</v>
      </c>
      <c r="J19" s="86">
        <v>0</v>
      </c>
      <c r="K19" s="86">
        <v>18</v>
      </c>
      <c r="M19" s="125">
        <v>11</v>
      </c>
      <c r="N19" s="2" t="s">
        <v>8</v>
      </c>
      <c r="O19" s="23">
        <v>13</v>
      </c>
      <c r="P19" s="20">
        <v>56</v>
      </c>
      <c r="Q19" s="60">
        <v>30</v>
      </c>
      <c r="R19" s="86">
        <v>18</v>
      </c>
      <c r="S19" s="86">
        <v>62</v>
      </c>
      <c r="T19" s="86">
        <v>39</v>
      </c>
      <c r="U19" s="86">
        <v>39</v>
      </c>
      <c r="V19" s="86">
        <v>58</v>
      </c>
      <c r="W19" s="86">
        <v>58</v>
      </c>
      <c r="X19" s="86">
        <v>55</v>
      </c>
      <c r="Y19" s="86">
        <v>28</v>
      </c>
      <c r="Z19" s="86">
        <f t="shared" si="0"/>
        <v>41.454545454545453</v>
      </c>
    </row>
    <row r="20" spans="1:28" x14ac:dyDescent="0.45">
      <c r="A20" s="3" t="s">
        <v>42</v>
      </c>
      <c r="B20" s="86">
        <v>0</v>
      </c>
      <c r="C20" s="86">
        <v>0</v>
      </c>
      <c r="D20" s="86">
        <v>0</v>
      </c>
      <c r="E20" s="86">
        <v>0</v>
      </c>
      <c r="F20" s="86">
        <v>0</v>
      </c>
      <c r="G20" s="86">
        <v>1</v>
      </c>
      <c r="H20" s="86">
        <v>2</v>
      </c>
      <c r="I20" s="86">
        <v>0</v>
      </c>
      <c r="J20" s="86">
        <v>0</v>
      </c>
      <c r="K20" s="86">
        <v>3</v>
      </c>
      <c r="M20" s="125">
        <v>12</v>
      </c>
      <c r="N20" s="2" t="s">
        <v>15</v>
      </c>
      <c r="O20" s="23">
        <v>125</v>
      </c>
      <c r="P20" s="24">
        <v>0</v>
      </c>
      <c r="Q20" s="24">
        <v>33</v>
      </c>
      <c r="R20" s="86">
        <v>76</v>
      </c>
      <c r="S20" s="86">
        <v>18</v>
      </c>
      <c r="T20" s="86">
        <v>15</v>
      </c>
      <c r="U20" s="77">
        <v>0</v>
      </c>
      <c r="V20" s="86">
        <v>20</v>
      </c>
      <c r="W20" s="86">
        <v>57</v>
      </c>
      <c r="X20" s="86">
        <v>24</v>
      </c>
      <c r="Y20" s="86">
        <v>2</v>
      </c>
      <c r="Z20" s="86">
        <f t="shared" si="0"/>
        <v>33.636363636363633</v>
      </c>
    </row>
    <row r="21" spans="1:28" x14ac:dyDescent="0.45">
      <c r="A21" s="3" t="s">
        <v>8</v>
      </c>
      <c r="B21" s="86">
        <v>0</v>
      </c>
      <c r="C21" s="86">
        <v>0</v>
      </c>
      <c r="D21" s="86">
        <v>0</v>
      </c>
      <c r="E21" s="86">
        <v>0</v>
      </c>
      <c r="F21" s="86">
        <v>0</v>
      </c>
      <c r="G21" s="86">
        <v>1</v>
      </c>
      <c r="H21" s="86">
        <v>8</v>
      </c>
      <c r="I21" s="86">
        <v>2</v>
      </c>
      <c r="J21" s="86">
        <v>2</v>
      </c>
      <c r="K21" s="86">
        <v>13</v>
      </c>
      <c r="M21" s="125">
        <v>14</v>
      </c>
      <c r="N21" s="2" t="s">
        <v>7</v>
      </c>
      <c r="O21" s="23">
        <v>10</v>
      </c>
      <c r="P21" s="20">
        <v>22</v>
      </c>
      <c r="Q21" s="60">
        <v>27</v>
      </c>
      <c r="R21" s="86">
        <v>28</v>
      </c>
      <c r="S21" s="86">
        <v>65</v>
      </c>
      <c r="T21" s="86">
        <v>26</v>
      </c>
      <c r="U21" s="86">
        <v>28</v>
      </c>
      <c r="V21" s="86">
        <v>43</v>
      </c>
      <c r="W21" s="86">
        <v>51</v>
      </c>
      <c r="X21" s="86">
        <v>25</v>
      </c>
      <c r="Y21" s="86">
        <v>27</v>
      </c>
      <c r="Z21" s="86">
        <f t="shared" si="0"/>
        <v>32</v>
      </c>
    </row>
    <row r="22" spans="1:28" x14ac:dyDescent="0.45">
      <c r="A22" s="3" t="s">
        <v>9</v>
      </c>
      <c r="B22" s="86">
        <v>0</v>
      </c>
      <c r="C22" s="86">
        <v>0</v>
      </c>
      <c r="D22" s="86">
        <v>0</v>
      </c>
      <c r="E22" s="86">
        <v>23</v>
      </c>
      <c r="F22" s="86">
        <v>29</v>
      </c>
      <c r="G22" s="86">
        <v>4</v>
      </c>
      <c r="H22" s="86">
        <v>106</v>
      </c>
      <c r="I22" s="86">
        <v>110</v>
      </c>
      <c r="J22" s="86">
        <v>20</v>
      </c>
      <c r="K22" s="86">
        <v>292</v>
      </c>
      <c r="M22" s="125">
        <v>13</v>
      </c>
      <c r="N22" s="2" t="s">
        <v>41</v>
      </c>
      <c r="O22" s="23">
        <v>5</v>
      </c>
      <c r="P22" s="20">
        <v>42</v>
      </c>
      <c r="Q22" s="60">
        <v>5</v>
      </c>
      <c r="R22" s="86">
        <v>95</v>
      </c>
      <c r="S22" s="86">
        <v>96</v>
      </c>
      <c r="T22" s="86">
        <v>17</v>
      </c>
      <c r="U22" s="86">
        <v>4</v>
      </c>
      <c r="V22" s="86">
        <v>23</v>
      </c>
      <c r="W22" s="86">
        <v>13</v>
      </c>
      <c r="X22" s="86">
        <v>16</v>
      </c>
      <c r="Y22" s="86">
        <v>13</v>
      </c>
      <c r="Z22" s="86">
        <f t="shared" si="0"/>
        <v>29.90909090909091</v>
      </c>
    </row>
    <row r="23" spans="1:28" x14ac:dyDescent="0.45">
      <c r="A23" s="3" t="s">
        <v>44</v>
      </c>
      <c r="B23" s="86">
        <v>0</v>
      </c>
      <c r="C23" s="86">
        <v>0</v>
      </c>
      <c r="D23" s="86">
        <v>0</v>
      </c>
      <c r="E23" s="86">
        <v>0</v>
      </c>
      <c r="F23" s="86">
        <v>0</v>
      </c>
      <c r="G23" s="86">
        <v>1</v>
      </c>
      <c r="H23" s="86">
        <v>0</v>
      </c>
      <c r="I23" s="86">
        <v>0</v>
      </c>
      <c r="J23" s="86">
        <v>0</v>
      </c>
      <c r="K23" s="86">
        <v>1</v>
      </c>
      <c r="M23" s="125">
        <v>15</v>
      </c>
      <c r="N23" s="2" t="s">
        <v>13</v>
      </c>
      <c r="O23" s="23">
        <v>0</v>
      </c>
      <c r="P23" s="20">
        <v>7</v>
      </c>
      <c r="Q23" s="60">
        <v>0</v>
      </c>
      <c r="R23" s="86">
        <v>1</v>
      </c>
      <c r="S23" s="86">
        <v>146</v>
      </c>
      <c r="T23" s="86">
        <v>98</v>
      </c>
      <c r="U23" s="86">
        <v>11</v>
      </c>
      <c r="V23" s="86">
        <v>0</v>
      </c>
      <c r="W23" s="86">
        <v>15</v>
      </c>
      <c r="X23" s="86">
        <v>11</v>
      </c>
      <c r="Y23" s="86">
        <v>40</v>
      </c>
      <c r="Z23" s="86">
        <f t="shared" si="0"/>
        <v>29.90909090909091</v>
      </c>
    </row>
    <row r="24" spans="1:28" x14ac:dyDescent="0.45">
      <c r="A24" s="3" t="s">
        <v>10</v>
      </c>
      <c r="B24" s="86">
        <v>0</v>
      </c>
      <c r="C24" s="86">
        <v>0</v>
      </c>
      <c r="D24" s="86">
        <v>0</v>
      </c>
      <c r="E24" s="86">
        <v>7</v>
      </c>
      <c r="F24" s="86">
        <v>15</v>
      </c>
      <c r="G24" s="86">
        <v>49</v>
      </c>
      <c r="H24" s="86">
        <v>10</v>
      </c>
      <c r="I24" s="86">
        <v>0</v>
      </c>
      <c r="J24" s="86">
        <v>0</v>
      </c>
      <c r="K24" s="86">
        <v>81</v>
      </c>
      <c r="M24" s="125">
        <v>16</v>
      </c>
      <c r="N24" s="2" t="s">
        <v>54</v>
      </c>
      <c r="O24" s="23">
        <v>0</v>
      </c>
      <c r="P24" s="24">
        <v>0</v>
      </c>
      <c r="Q24" s="24">
        <v>15</v>
      </c>
      <c r="R24" s="86">
        <v>1</v>
      </c>
      <c r="S24" s="86">
        <v>22</v>
      </c>
      <c r="T24" s="86">
        <v>36</v>
      </c>
      <c r="U24" s="77">
        <v>0</v>
      </c>
      <c r="V24" s="86">
        <v>1</v>
      </c>
      <c r="W24" s="86">
        <v>37</v>
      </c>
      <c r="X24" s="86">
        <v>7</v>
      </c>
      <c r="Y24" s="86">
        <v>3</v>
      </c>
      <c r="Z24" s="86">
        <f t="shared" si="0"/>
        <v>11.090909090909092</v>
      </c>
    </row>
    <row r="25" spans="1:28" x14ac:dyDescent="0.45">
      <c r="A25" s="3" t="s">
        <v>11</v>
      </c>
      <c r="B25" s="86">
        <v>0</v>
      </c>
      <c r="C25" s="86">
        <v>0</v>
      </c>
      <c r="D25" s="86">
        <v>0</v>
      </c>
      <c r="E25" s="86">
        <v>0</v>
      </c>
      <c r="F25" s="86">
        <v>1326</v>
      </c>
      <c r="G25" s="86">
        <v>814</v>
      </c>
      <c r="H25" s="86">
        <v>942</v>
      </c>
      <c r="I25" s="86">
        <v>146</v>
      </c>
      <c r="J25" s="86">
        <v>1</v>
      </c>
      <c r="K25" s="86">
        <v>3229</v>
      </c>
      <c r="M25" s="125">
        <v>17</v>
      </c>
      <c r="N25" s="2" t="s">
        <v>32</v>
      </c>
      <c r="O25" s="23">
        <v>1</v>
      </c>
      <c r="P25" s="20">
        <v>5</v>
      </c>
      <c r="Q25" s="60">
        <v>3</v>
      </c>
      <c r="R25" s="86">
        <v>34</v>
      </c>
      <c r="S25" s="86">
        <v>0</v>
      </c>
      <c r="T25" s="86">
        <v>13</v>
      </c>
      <c r="U25" s="86">
        <v>33</v>
      </c>
      <c r="V25" s="86">
        <v>3</v>
      </c>
      <c r="W25" s="86">
        <v>10</v>
      </c>
      <c r="X25" s="86">
        <v>10</v>
      </c>
      <c r="Y25" s="86">
        <v>0</v>
      </c>
      <c r="Z25" s="86">
        <f t="shared" si="0"/>
        <v>10.181818181818182</v>
      </c>
    </row>
    <row r="26" spans="1:28" x14ac:dyDescent="0.45">
      <c r="A26" s="3" t="s">
        <v>12</v>
      </c>
      <c r="B26" s="86">
        <v>0</v>
      </c>
      <c r="C26" s="86">
        <v>0</v>
      </c>
      <c r="D26" s="86">
        <v>0</v>
      </c>
      <c r="E26" s="86">
        <v>0</v>
      </c>
      <c r="F26" s="86">
        <v>44</v>
      </c>
      <c r="G26" s="86">
        <v>49</v>
      </c>
      <c r="H26" s="86">
        <v>43</v>
      </c>
      <c r="I26" s="86">
        <v>0</v>
      </c>
      <c r="J26" s="86">
        <v>0</v>
      </c>
      <c r="K26" s="86">
        <v>136</v>
      </c>
      <c r="M26" s="125">
        <v>18</v>
      </c>
      <c r="N26" s="2" t="s">
        <v>43</v>
      </c>
      <c r="O26" s="23">
        <v>11</v>
      </c>
      <c r="P26" s="20">
        <v>11</v>
      </c>
      <c r="Q26" s="60">
        <v>13</v>
      </c>
      <c r="R26" s="86">
        <v>8</v>
      </c>
      <c r="S26" s="86">
        <v>2</v>
      </c>
      <c r="T26" s="86">
        <v>8</v>
      </c>
      <c r="U26" s="86">
        <v>18</v>
      </c>
      <c r="V26" s="86">
        <v>15</v>
      </c>
      <c r="W26" s="86">
        <v>0</v>
      </c>
      <c r="X26" s="86">
        <v>7</v>
      </c>
      <c r="Y26" s="86">
        <v>22</v>
      </c>
      <c r="Z26" s="86">
        <f t="shared" si="0"/>
        <v>10.454545454545455</v>
      </c>
    </row>
    <row r="27" spans="1:28" x14ac:dyDescent="0.45">
      <c r="A27" s="3" t="s">
        <v>32</v>
      </c>
      <c r="B27" s="86">
        <v>0</v>
      </c>
      <c r="C27" s="86">
        <v>0</v>
      </c>
      <c r="D27" s="86">
        <v>0</v>
      </c>
      <c r="E27" s="86">
        <v>0</v>
      </c>
      <c r="F27" s="86">
        <v>0</v>
      </c>
      <c r="G27" s="86">
        <v>1</v>
      </c>
      <c r="H27" s="86">
        <v>0</v>
      </c>
      <c r="I27" s="86">
        <v>0</v>
      </c>
      <c r="J27" s="86">
        <v>0</v>
      </c>
      <c r="K27" s="86">
        <v>1</v>
      </c>
      <c r="M27" s="125">
        <v>19</v>
      </c>
      <c r="N27" s="2" t="s">
        <v>4</v>
      </c>
      <c r="O27" s="23">
        <v>0</v>
      </c>
      <c r="P27" s="20">
        <v>26</v>
      </c>
      <c r="Q27" s="60">
        <v>3</v>
      </c>
      <c r="R27" s="86">
        <v>15</v>
      </c>
      <c r="S27" s="86">
        <v>9</v>
      </c>
      <c r="T27" s="86">
        <v>4</v>
      </c>
      <c r="U27" s="86">
        <v>11</v>
      </c>
      <c r="V27" s="86">
        <v>1</v>
      </c>
      <c r="W27" s="86">
        <v>5</v>
      </c>
      <c r="X27" s="86">
        <v>13</v>
      </c>
      <c r="Y27" s="86">
        <v>0</v>
      </c>
      <c r="Z27" s="86">
        <f t="shared" si="0"/>
        <v>7.9090909090909092</v>
      </c>
    </row>
    <row r="28" spans="1:28" x14ac:dyDescent="0.45">
      <c r="A28" s="3" t="s">
        <v>18</v>
      </c>
      <c r="B28" s="86">
        <v>0</v>
      </c>
      <c r="C28" s="86">
        <v>0</v>
      </c>
      <c r="D28" s="86">
        <v>0</v>
      </c>
      <c r="E28" s="86">
        <v>1</v>
      </c>
      <c r="F28" s="86">
        <v>103</v>
      </c>
      <c r="G28" s="86">
        <v>0</v>
      </c>
      <c r="H28" s="86">
        <v>0</v>
      </c>
      <c r="I28" s="86">
        <v>0</v>
      </c>
      <c r="J28" s="86">
        <v>0</v>
      </c>
      <c r="K28" s="86">
        <v>104</v>
      </c>
      <c r="M28" s="125">
        <v>20</v>
      </c>
      <c r="N28" s="2" t="s">
        <v>42</v>
      </c>
      <c r="O28" s="23">
        <v>3</v>
      </c>
      <c r="P28" s="20">
        <v>12</v>
      </c>
      <c r="Q28" s="60">
        <v>1</v>
      </c>
      <c r="R28" s="86">
        <v>7</v>
      </c>
      <c r="S28" s="86">
        <v>0</v>
      </c>
      <c r="T28" s="86">
        <v>8</v>
      </c>
      <c r="U28" s="86">
        <v>5</v>
      </c>
      <c r="V28" s="86">
        <v>5</v>
      </c>
      <c r="W28" s="86">
        <v>11</v>
      </c>
      <c r="X28" s="86">
        <v>29</v>
      </c>
      <c r="Y28" s="86">
        <v>4</v>
      </c>
      <c r="Z28" s="86">
        <f t="shared" si="0"/>
        <v>7.7272727272727275</v>
      </c>
    </row>
    <row r="29" spans="1:28" x14ac:dyDescent="0.45">
      <c r="A29" s="3" t="s">
        <v>46</v>
      </c>
      <c r="B29" s="86">
        <v>0</v>
      </c>
      <c r="C29" s="86">
        <v>0</v>
      </c>
      <c r="D29" s="86">
        <v>0</v>
      </c>
      <c r="E29" s="86">
        <v>0</v>
      </c>
      <c r="F29" s="86">
        <v>0</v>
      </c>
      <c r="G29" s="86">
        <v>0</v>
      </c>
      <c r="H29" s="86">
        <v>0</v>
      </c>
      <c r="I29" s="86">
        <v>0</v>
      </c>
      <c r="J29" s="86">
        <v>0</v>
      </c>
      <c r="K29" s="86">
        <v>0</v>
      </c>
      <c r="M29" s="125">
        <v>21</v>
      </c>
      <c r="N29" s="2" t="s">
        <v>44</v>
      </c>
      <c r="O29" s="23">
        <v>1</v>
      </c>
      <c r="P29" s="20">
        <v>10</v>
      </c>
      <c r="Q29" s="60">
        <v>1</v>
      </c>
      <c r="R29" s="86">
        <v>2</v>
      </c>
      <c r="S29" s="86">
        <v>9</v>
      </c>
      <c r="T29" s="86">
        <v>2</v>
      </c>
      <c r="U29" s="86">
        <v>6</v>
      </c>
      <c r="V29" s="86">
        <v>9</v>
      </c>
      <c r="W29" s="86">
        <v>7</v>
      </c>
      <c r="X29" s="86">
        <v>3</v>
      </c>
      <c r="Y29" s="86">
        <v>5</v>
      </c>
      <c r="Z29" s="86">
        <f t="shared" si="0"/>
        <v>5</v>
      </c>
    </row>
    <row r="30" spans="1:28" x14ac:dyDescent="0.45">
      <c r="A30" s="3" t="s">
        <v>13</v>
      </c>
      <c r="B30" s="86">
        <v>0</v>
      </c>
      <c r="C30" s="86">
        <v>0</v>
      </c>
      <c r="D30" s="86">
        <v>0</v>
      </c>
      <c r="E30" s="86">
        <v>0</v>
      </c>
      <c r="F30" s="86">
        <v>0</v>
      </c>
      <c r="G30" s="86">
        <v>0</v>
      </c>
      <c r="H30" s="86">
        <v>0</v>
      </c>
      <c r="I30" s="86">
        <v>0</v>
      </c>
      <c r="J30" s="86">
        <v>0</v>
      </c>
      <c r="K30" s="86">
        <v>0</v>
      </c>
      <c r="M30" s="2"/>
      <c r="N30" s="2" t="s">
        <v>48</v>
      </c>
      <c r="O30" s="23">
        <v>2</v>
      </c>
      <c r="P30" s="20">
        <v>18</v>
      </c>
      <c r="Q30" s="60">
        <v>0</v>
      </c>
      <c r="R30" s="86">
        <v>2</v>
      </c>
      <c r="S30" s="86">
        <v>2</v>
      </c>
      <c r="T30" s="142">
        <v>0</v>
      </c>
      <c r="U30" s="86">
        <v>5</v>
      </c>
      <c r="V30" s="86">
        <v>0</v>
      </c>
      <c r="W30" s="86">
        <v>15</v>
      </c>
      <c r="X30" s="86">
        <v>1</v>
      </c>
      <c r="Y30" s="86">
        <v>2</v>
      </c>
      <c r="Z30" s="86">
        <f t="shared" si="0"/>
        <v>4.2727272727272725</v>
      </c>
    </row>
    <row r="31" spans="1:28" x14ac:dyDescent="0.45">
      <c r="A31" s="3" t="s">
        <v>14</v>
      </c>
      <c r="B31" s="86">
        <v>0</v>
      </c>
      <c r="C31" s="86">
        <v>0</v>
      </c>
      <c r="D31" s="86">
        <v>0</v>
      </c>
      <c r="E31" s="86">
        <v>40</v>
      </c>
      <c r="F31" s="86">
        <v>500</v>
      </c>
      <c r="G31" s="86">
        <v>420</v>
      </c>
      <c r="H31" s="86">
        <v>120</v>
      </c>
      <c r="I31" s="86">
        <v>12</v>
      </c>
      <c r="J31" s="86">
        <v>5</v>
      </c>
      <c r="K31" s="86">
        <v>1097</v>
      </c>
      <c r="M31" s="125">
        <v>22</v>
      </c>
      <c r="N31" s="2" t="s">
        <v>51</v>
      </c>
      <c r="O31" s="23">
        <v>18</v>
      </c>
      <c r="P31" s="20">
        <v>0</v>
      </c>
      <c r="Q31" s="60">
        <v>2</v>
      </c>
      <c r="R31" s="86">
        <v>0</v>
      </c>
      <c r="S31" s="86">
        <v>3</v>
      </c>
      <c r="T31" s="86">
        <v>3</v>
      </c>
      <c r="U31" s="77">
        <v>0</v>
      </c>
      <c r="V31" s="77">
        <v>0</v>
      </c>
      <c r="W31" s="86">
        <v>1</v>
      </c>
      <c r="X31" s="86">
        <v>3</v>
      </c>
      <c r="Y31" s="86">
        <v>1</v>
      </c>
      <c r="Z31" s="86">
        <f t="shared" si="0"/>
        <v>2.8181818181818183</v>
      </c>
    </row>
    <row r="32" spans="1:28" x14ac:dyDescent="0.45">
      <c r="A32" s="3" t="s">
        <v>40</v>
      </c>
      <c r="B32" s="86">
        <v>139</v>
      </c>
      <c r="C32" s="86">
        <v>2</v>
      </c>
      <c r="D32" s="86">
        <v>0</v>
      </c>
      <c r="E32" s="86">
        <v>0</v>
      </c>
      <c r="F32" s="86">
        <v>0</v>
      </c>
      <c r="G32" s="86">
        <v>0</v>
      </c>
      <c r="H32" s="86">
        <v>0</v>
      </c>
      <c r="I32" s="86">
        <v>0</v>
      </c>
      <c r="J32" s="86">
        <v>0</v>
      </c>
      <c r="K32" s="86">
        <v>141</v>
      </c>
      <c r="M32" s="125">
        <v>23</v>
      </c>
      <c r="N32" s="2" t="s">
        <v>46</v>
      </c>
      <c r="O32" s="23">
        <v>0</v>
      </c>
      <c r="P32" s="20">
        <v>1</v>
      </c>
      <c r="Q32" s="60">
        <v>8</v>
      </c>
      <c r="R32" s="86">
        <v>8</v>
      </c>
      <c r="S32" s="86">
        <v>0</v>
      </c>
      <c r="T32" s="86">
        <v>2</v>
      </c>
      <c r="U32" s="77">
        <v>0</v>
      </c>
      <c r="V32" s="77">
        <v>0</v>
      </c>
      <c r="W32" s="77">
        <v>0</v>
      </c>
      <c r="X32" s="86">
        <v>1</v>
      </c>
      <c r="Y32" s="86">
        <v>1</v>
      </c>
      <c r="Z32" s="86">
        <f t="shared" si="0"/>
        <v>1.9090909090909092</v>
      </c>
    </row>
    <row r="33" spans="1:61" x14ac:dyDescent="0.45">
      <c r="A33" s="3" t="s">
        <v>52</v>
      </c>
      <c r="B33" s="86">
        <v>0</v>
      </c>
      <c r="C33" s="86">
        <v>0</v>
      </c>
      <c r="D33" s="86">
        <v>0</v>
      </c>
      <c r="E33" s="86">
        <v>0</v>
      </c>
      <c r="F33" s="86">
        <v>0</v>
      </c>
      <c r="G33" s="86">
        <v>0</v>
      </c>
      <c r="H33" s="86">
        <v>1</v>
      </c>
      <c r="I33" s="86">
        <v>0</v>
      </c>
      <c r="J33" s="86">
        <v>0</v>
      </c>
      <c r="K33" s="86">
        <v>1</v>
      </c>
      <c r="M33" s="125">
        <v>24</v>
      </c>
      <c r="N33" s="2" t="s">
        <v>45</v>
      </c>
      <c r="O33" s="23">
        <v>3</v>
      </c>
      <c r="P33" s="20">
        <v>1</v>
      </c>
      <c r="Q33" s="60">
        <v>1</v>
      </c>
      <c r="R33" s="86">
        <v>1</v>
      </c>
      <c r="S33" s="86">
        <v>10</v>
      </c>
      <c r="T33" s="142">
        <v>0</v>
      </c>
      <c r="U33" s="77">
        <v>0</v>
      </c>
      <c r="V33" s="77">
        <v>0</v>
      </c>
      <c r="W33" s="77">
        <v>0</v>
      </c>
      <c r="X33" s="86">
        <v>0</v>
      </c>
      <c r="Y33" s="86">
        <v>2</v>
      </c>
      <c r="Z33" s="86">
        <f t="shared" si="0"/>
        <v>1.6363636363636365</v>
      </c>
    </row>
    <row r="34" spans="1:61" x14ac:dyDescent="0.45">
      <c r="A34" s="3" t="s">
        <v>53</v>
      </c>
      <c r="B34" s="86">
        <v>0</v>
      </c>
      <c r="C34" s="86">
        <v>0</v>
      </c>
      <c r="D34" s="86">
        <v>0</v>
      </c>
      <c r="E34" s="86">
        <v>0</v>
      </c>
      <c r="F34" s="86">
        <v>0</v>
      </c>
      <c r="G34" s="86">
        <v>0</v>
      </c>
      <c r="H34" s="86">
        <v>0</v>
      </c>
      <c r="I34" s="86">
        <v>0</v>
      </c>
      <c r="J34" s="86">
        <v>0</v>
      </c>
      <c r="K34" s="86">
        <v>0</v>
      </c>
      <c r="M34" s="125">
        <v>25</v>
      </c>
      <c r="N34" s="21" t="s">
        <v>50</v>
      </c>
      <c r="O34" s="23">
        <v>3</v>
      </c>
      <c r="P34" s="24">
        <v>0</v>
      </c>
      <c r="Q34" s="60">
        <v>0</v>
      </c>
      <c r="R34" s="86">
        <v>4</v>
      </c>
      <c r="S34" s="86">
        <v>6</v>
      </c>
      <c r="T34" s="142">
        <v>0</v>
      </c>
      <c r="U34" s="77">
        <v>0</v>
      </c>
      <c r="V34" s="86">
        <v>1</v>
      </c>
      <c r="W34" s="86">
        <v>1</v>
      </c>
      <c r="X34" s="86">
        <v>1</v>
      </c>
      <c r="Y34" s="86">
        <v>0</v>
      </c>
      <c r="Z34" s="86">
        <f t="shared" si="0"/>
        <v>1.4545454545454546</v>
      </c>
    </row>
    <row r="35" spans="1:61" x14ac:dyDescent="0.45">
      <c r="A35" s="3" t="s">
        <v>15</v>
      </c>
      <c r="B35" s="86">
        <v>0</v>
      </c>
      <c r="C35" s="86">
        <v>0</v>
      </c>
      <c r="D35" s="86">
        <v>0</v>
      </c>
      <c r="E35" s="86">
        <v>0</v>
      </c>
      <c r="F35" s="86">
        <v>0</v>
      </c>
      <c r="G35" s="86">
        <v>119</v>
      </c>
      <c r="H35" s="86">
        <v>5</v>
      </c>
      <c r="I35" s="86">
        <v>1</v>
      </c>
      <c r="J35" s="86">
        <v>0</v>
      </c>
      <c r="K35" s="86">
        <v>125</v>
      </c>
      <c r="M35" s="125">
        <v>26</v>
      </c>
      <c r="N35" s="2" t="s">
        <v>16</v>
      </c>
      <c r="O35" s="23">
        <v>1</v>
      </c>
      <c r="P35" s="24">
        <v>5</v>
      </c>
      <c r="Q35" s="77">
        <v>1</v>
      </c>
      <c r="R35" s="86">
        <v>1</v>
      </c>
      <c r="S35" s="86">
        <v>0</v>
      </c>
      <c r="T35" s="142">
        <v>0</v>
      </c>
      <c r="U35" s="77">
        <v>0</v>
      </c>
      <c r="V35" s="77">
        <v>0</v>
      </c>
      <c r="W35" s="77">
        <v>0</v>
      </c>
      <c r="X35" s="86">
        <v>0</v>
      </c>
      <c r="Y35" s="86">
        <v>3</v>
      </c>
      <c r="Z35" s="86">
        <f t="shared" si="0"/>
        <v>1</v>
      </c>
    </row>
    <row r="36" spans="1:61" x14ac:dyDescent="0.45">
      <c r="A36" s="3" t="s">
        <v>54</v>
      </c>
      <c r="B36" s="86">
        <v>0</v>
      </c>
      <c r="C36" s="86">
        <v>0</v>
      </c>
      <c r="D36" s="86">
        <v>0</v>
      </c>
      <c r="E36" s="86">
        <v>0</v>
      </c>
      <c r="F36" s="86">
        <v>0</v>
      </c>
      <c r="G36" s="86">
        <v>0</v>
      </c>
      <c r="H36" s="86">
        <v>0</v>
      </c>
      <c r="I36" s="86">
        <v>0</v>
      </c>
      <c r="J36" s="86">
        <v>0</v>
      </c>
      <c r="K36" s="86">
        <v>0</v>
      </c>
      <c r="M36" s="125">
        <v>27</v>
      </c>
      <c r="N36" s="2" t="s">
        <v>52</v>
      </c>
      <c r="O36" s="23">
        <v>1</v>
      </c>
      <c r="P36" s="20">
        <v>0</v>
      </c>
      <c r="Q36" s="60">
        <v>0</v>
      </c>
      <c r="R36" s="86">
        <v>6</v>
      </c>
      <c r="S36" s="86">
        <v>0</v>
      </c>
      <c r="T36" s="142">
        <v>0</v>
      </c>
      <c r="U36" s="77">
        <v>0</v>
      </c>
      <c r="V36" s="86">
        <v>1</v>
      </c>
      <c r="W36" s="86">
        <v>0</v>
      </c>
      <c r="X36" s="86">
        <v>0</v>
      </c>
      <c r="Y36" s="86">
        <v>0</v>
      </c>
      <c r="Z36" s="86">
        <f t="shared" si="0"/>
        <v>0.72727272727272729</v>
      </c>
    </row>
    <row r="37" spans="1:61" x14ac:dyDescent="0.45">
      <c r="A37" s="3" t="s">
        <v>47</v>
      </c>
      <c r="B37" s="86">
        <v>0</v>
      </c>
      <c r="C37" s="86">
        <v>0</v>
      </c>
      <c r="D37" s="86">
        <v>0</v>
      </c>
      <c r="E37" s="86">
        <v>0</v>
      </c>
      <c r="F37" s="86">
        <v>65</v>
      </c>
      <c r="G37" s="86">
        <v>17</v>
      </c>
      <c r="H37" s="86">
        <v>17</v>
      </c>
      <c r="I37" s="86">
        <v>0</v>
      </c>
      <c r="J37" s="86">
        <v>0</v>
      </c>
      <c r="K37" s="86">
        <v>99</v>
      </c>
      <c r="M37" s="125">
        <v>28</v>
      </c>
      <c r="N37" s="2" t="s">
        <v>83</v>
      </c>
      <c r="O37" s="124">
        <v>0</v>
      </c>
      <c r="P37" s="86">
        <v>0</v>
      </c>
      <c r="Q37" s="86">
        <v>0</v>
      </c>
      <c r="R37" s="86">
        <v>0</v>
      </c>
      <c r="S37" s="86">
        <v>5</v>
      </c>
      <c r="T37" s="142">
        <v>0</v>
      </c>
      <c r="U37" s="77">
        <v>0</v>
      </c>
      <c r="V37" s="77">
        <v>0</v>
      </c>
      <c r="W37" s="77">
        <v>0</v>
      </c>
      <c r="X37" s="86">
        <v>0</v>
      </c>
      <c r="Y37" s="86">
        <v>0</v>
      </c>
      <c r="Z37" s="213">
        <f t="shared" si="0"/>
        <v>0.45454545454545453</v>
      </c>
    </row>
    <row r="38" spans="1:61" x14ac:dyDescent="0.45">
      <c r="A38" s="3" t="s">
        <v>16</v>
      </c>
      <c r="B38" s="86">
        <v>0</v>
      </c>
      <c r="C38" s="86">
        <v>0</v>
      </c>
      <c r="D38" s="86">
        <v>0</v>
      </c>
      <c r="E38" s="86">
        <v>0</v>
      </c>
      <c r="F38" s="86">
        <v>1</v>
      </c>
      <c r="G38" s="86">
        <v>0</v>
      </c>
      <c r="H38" s="86">
        <v>0</v>
      </c>
      <c r="I38" s="86">
        <v>0</v>
      </c>
      <c r="J38" s="86">
        <v>0</v>
      </c>
      <c r="K38" s="86">
        <v>1</v>
      </c>
      <c r="M38" s="125">
        <v>29</v>
      </c>
      <c r="N38" s="90" t="s">
        <v>55</v>
      </c>
      <c r="O38" s="130">
        <v>0</v>
      </c>
      <c r="P38" s="130">
        <v>0</v>
      </c>
      <c r="Q38" s="130">
        <v>0</v>
      </c>
      <c r="R38" s="130">
        <v>0</v>
      </c>
      <c r="S38" s="130">
        <v>0</v>
      </c>
      <c r="T38" s="130">
        <v>5</v>
      </c>
      <c r="U38" s="60">
        <v>0</v>
      </c>
      <c r="V38" s="19">
        <v>0</v>
      </c>
      <c r="W38" s="19">
        <v>0</v>
      </c>
      <c r="X38" s="86">
        <v>0</v>
      </c>
      <c r="Y38" s="86">
        <v>0</v>
      </c>
      <c r="Z38" s="213">
        <f t="shared" si="0"/>
        <v>0.45454545454545453</v>
      </c>
    </row>
    <row r="39" spans="1:61" x14ac:dyDescent="0.45">
      <c r="A39" s="6" t="s">
        <v>17</v>
      </c>
      <c r="B39" s="31">
        <v>0</v>
      </c>
      <c r="C39" s="31">
        <v>0</v>
      </c>
      <c r="D39" s="31">
        <v>0</v>
      </c>
      <c r="E39" s="31">
        <v>40</v>
      </c>
      <c r="F39" s="31">
        <v>500</v>
      </c>
      <c r="G39" s="31">
        <v>1000</v>
      </c>
      <c r="H39" s="31">
        <v>84</v>
      </c>
      <c r="I39" s="31">
        <v>6</v>
      </c>
      <c r="J39" s="31">
        <v>0</v>
      </c>
      <c r="K39" s="31">
        <v>1630</v>
      </c>
      <c r="M39" s="143">
        <v>30</v>
      </c>
      <c r="N39" s="90" t="s">
        <v>6</v>
      </c>
      <c r="O39" s="123">
        <v>3</v>
      </c>
      <c r="P39" s="20">
        <v>0</v>
      </c>
      <c r="Q39" s="60">
        <v>0</v>
      </c>
      <c r="R39" s="86">
        <v>1</v>
      </c>
      <c r="S39" s="86">
        <v>0</v>
      </c>
      <c r="T39" s="142">
        <v>0</v>
      </c>
      <c r="U39" s="77">
        <v>0</v>
      </c>
      <c r="V39" s="86">
        <v>1</v>
      </c>
      <c r="W39" s="86">
        <v>0</v>
      </c>
      <c r="X39" s="86">
        <v>0</v>
      </c>
      <c r="Y39" s="86">
        <v>0</v>
      </c>
      <c r="Z39" s="213">
        <f t="shared" si="0"/>
        <v>0.45454545454545453</v>
      </c>
    </row>
    <row r="40" spans="1:61" x14ac:dyDescent="0.45">
      <c r="A40" s="11" t="s">
        <v>24</v>
      </c>
      <c r="B40" s="86">
        <f>SUM(B7:B39)</f>
        <v>144</v>
      </c>
      <c r="C40" s="86">
        <f t="shared" ref="C40:J40" si="1">SUM(C7:C39)</f>
        <v>5</v>
      </c>
      <c r="D40" s="86">
        <f t="shared" si="1"/>
        <v>6</v>
      </c>
      <c r="E40" s="86">
        <f t="shared" si="1"/>
        <v>186</v>
      </c>
      <c r="F40" s="86">
        <f t="shared" si="1"/>
        <v>2661</v>
      </c>
      <c r="G40" s="86">
        <f t="shared" si="1"/>
        <v>2630</v>
      </c>
      <c r="H40" s="86">
        <f t="shared" si="1"/>
        <v>1396</v>
      </c>
      <c r="I40" s="86">
        <f t="shared" si="1"/>
        <v>316</v>
      </c>
      <c r="J40" s="86">
        <f t="shared" si="1"/>
        <v>62</v>
      </c>
      <c r="K40" s="86">
        <v>7406</v>
      </c>
      <c r="M40" s="144">
        <v>31</v>
      </c>
      <c r="N40" s="34" t="s">
        <v>53</v>
      </c>
      <c r="O40" s="99">
        <v>0</v>
      </c>
      <c r="P40" s="99">
        <v>0</v>
      </c>
      <c r="Q40" s="99">
        <v>2</v>
      </c>
      <c r="R40" s="99">
        <v>0</v>
      </c>
      <c r="S40" s="99">
        <v>0</v>
      </c>
      <c r="T40" s="99">
        <v>1</v>
      </c>
      <c r="U40" s="99">
        <v>1</v>
      </c>
      <c r="V40" s="19">
        <v>0</v>
      </c>
      <c r="W40" s="19">
        <v>0</v>
      </c>
      <c r="X40" s="86">
        <v>0</v>
      </c>
      <c r="Y40" s="86">
        <v>0</v>
      </c>
      <c r="Z40" s="213">
        <f t="shared" si="0"/>
        <v>0.36363636363636365</v>
      </c>
    </row>
    <row r="41" spans="1:61" x14ac:dyDescent="0.45">
      <c r="B41" s="86"/>
      <c r="C41" s="86"/>
      <c r="D41" s="86"/>
      <c r="E41" s="86"/>
      <c r="F41" s="86"/>
      <c r="G41" s="86"/>
      <c r="H41" s="86"/>
      <c r="I41" s="86"/>
      <c r="J41" s="86"/>
      <c r="K41" s="86"/>
      <c r="M41" s="125"/>
      <c r="N41" s="32" t="s">
        <v>57</v>
      </c>
      <c r="O41" s="17">
        <f>SUM(O7:O40)</f>
        <v>7406</v>
      </c>
      <c r="P41" s="17">
        <f t="shared" ref="P41:S41" si="2">SUM(P7:P40)</f>
        <v>9845</v>
      </c>
      <c r="Q41" s="17">
        <f t="shared" si="2"/>
        <v>16007</v>
      </c>
      <c r="R41" s="17">
        <f t="shared" si="2"/>
        <v>23972</v>
      </c>
      <c r="S41" s="17">
        <f t="shared" si="2"/>
        <v>18623</v>
      </c>
      <c r="T41" s="17">
        <f t="shared" ref="T41:X41" si="3">SUM(T7:T40)</f>
        <v>13139</v>
      </c>
      <c r="U41" s="17">
        <f t="shared" si="3"/>
        <v>8287</v>
      </c>
      <c r="V41" s="160">
        <f t="shared" si="3"/>
        <v>10477</v>
      </c>
      <c r="W41" s="160">
        <f t="shared" si="3"/>
        <v>10413</v>
      </c>
      <c r="X41" s="164">
        <f t="shared" si="3"/>
        <v>18709</v>
      </c>
      <c r="Y41" s="160">
        <v>8623</v>
      </c>
      <c r="Z41" s="160">
        <f t="shared" si="0"/>
        <v>13227.363636363636</v>
      </c>
    </row>
    <row r="42" spans="1:61" x14ac:dyDescent="0.45">
      <c r="B42" s="86"/>
      <c r="C42" s="86"/>
      <c r="D42" s="86"/>
      <c r="E42" s="86"/>
      <c r="F42" s="86"/>
      <c r="G42" s="86"/>
      <c r="H42" s="86"/>
      <c r="I42" s="86"/>
      <c r="J42" s="86"/>
      <c r="K42" s="86"/>
      <c r="L42" s="2"/>
      <c r="M42" s="125"/>
      <c r="N42" s="28" t="s">
        <v>67</v>
      </c>
      <c r="O42" s="30">
        <v>24</v>
      </c>
      <c r="P42" s="29">
        <v>23</v>
      </c>
      <c r="Q42" s="30">
        <v>25</v>
      </c>
      <c r="R42" s="17">
        <v>27</v>
      </c>
      <c r="S42" s="17">
        <v>23</v>
      </c>
      <c r="T42" s="86">
        <v>25</v>
      </c>
      <c r="U42" s="77">
        <v>21</v>
      </c>
      <c r="V42" s="142">
        <v>23</v>
      </c>
      <c r="W42" s="142">
        <v>22</v>
      </c>
      <c r="X42" s="86">
        <v>24</v>
      </c>
      <c r="Y42" s="142">
        <v>23</v>
      </c>
      <c r="Z42" s="86">
        <f t="shared" si="0"/>
        <v>23.636363636363637</v>
      </c>
    </row>
    <row r="43" spans="1:61" x14ac:dyDescent="0.45">
      <c r="B43" s="86"/>
      <c r="C43" s="86"/>
      <c r="D43" s="86"/>
      <c r="E43" s="86"/>
      <c r="F43" s="86"/>
      <c r="G43" s="86"/>
      <c r="H43" s="86"/>
      <c r="I43" s="86"/>
      <c r="J43" s="86"/>
      <c r="K43" s="86"/>
      <c r="M43" s="2"/>
      <c r="Q43" s="17"/>
      <c r="X43" s="21"/>
    </row>
    <row r="44" spans="1:61" x14ac:dyDescent="0.45">
      <c r="A44" s="27" t="s">
        <v>69</v>
      </c>
      <c r="B44" s="106" t="s">
        <v>20</v>
      </c>
      <c r="C44" s="106"/>
      <c r="D44" s="106"/>
      <c r="E44" s="106"/>
      <c r="F44" s="106" t="s">
        <v>21</v>
      </c>
      <c r="G44" s="106"/>
      <c r="H44" s="106"/>
      <c r="I44" s="106"/>
      <c r="J44" s="106"/>
      <c r="K44" s="106"/>
    </row>
    <row r="45" spans="1:61" x14ac:dyDescent="0.45">
      <c r="A45" s="26" t="s">
        <v>19</v>
      </c>
      <c r="B45" s="107">
        <v>15</v>
      </c>
      <c r="C45" s="107">
        <v>20</v>
      </c>
      <c r="D45" s="107">
        <v>25</v>
      </c>
      <c r="E45" s="107">
        <v>30</v>
      </c>
      <c r="F45" s="107">
        <v>5</v>
      </c>
      <c r="G45" s="107">
        <v>10</v>
      </c>
      <c r="H45" s="107">
        <v>15</v>
      </c>
      <c r="I45" s="107">
        <v>20</v>
      </c>
      <c r="J45" s="107">
        <v>25</v>
      </c>
      <c r="K45" s="118" t="s">
        <v>24</v>
      </c>
    </row>
    <row r="46" spans="1:61" x14ac:dyDescent="0.45">
      <c r="A46" s="3" t="s">
        <v>1</v>
      </c>
      <c r="B46" s="86">
        <v>0</v>
      </c>
      <c r="C46" s="86">
        <v>0</v>
      </c>
      <c r="D46" s="86">
        <v>0</v>
      </c>
      <c r="E46" s="86">
        <v>3</v>
      </c>
      <c r="F46" s="86">
        <v>0</v>
      </c>
      <c r="G46" s="86">
        <v>5</v>
      </c>
      <c r="H46" s="86">
        <v>128</v>
      </c>
      <c r="I46" s="86">
        <v>54</v>
      </c>
      <c r="J46" s="86">
        <v>13</v>
      </c>
      <c r="K46" s="86">
        <v>203</v>
      </c>
    </row>
    <row r="47" spans="1:61" ht="15.4" x14ac:dyDescent="0.45">
      <c r="A47" s="3" t="s">
        <v>49</v>
      </c>
      <c r="B47" s="86">
        <v>0</v>
      </c>
      <c r="C47" s="86">
        <v>0</v>
      </c>
      <c r="D47" s="86">
        <v>0</v>
      </c>
      <c r="E47" s="86">
        <v>0</v>
      </c>
      <c r="F47" s="86">
        <v>0</v>
      </c>
      <c r="G47" s="86">
        <v>0</v>
      </c>
      <c r="H47" s="86">
        <v>0</v>
      </c>
      <c r="I47" s="86">
        <v>0</v>
      </c>
      <c r="J47" s="86">
        <v>0</v>
      </c>
      <c r="K47" s="86">
        <v>0</v>
      </c>
      <c r="O47" s="145"/>
    </row>
    <row r="48" spans="1:61" ht="15.4" x14ac:dyDescent="0.45">
      <c r="A48" s="3" t="s">
        <v>45</v>
      </c>
      <c r="B48" s="86">
        <v>0</v>
      </c>
      <c r="C48" s="86">
        <v>1</v>
      </c>
      <c r="D48" s="86">
        <v>0</v>
      </c>
      <c r="E48" s="86">
        <v>0</v>
      </c>
      <c r="F48" s="86">
        <v>0</v>
      </c>
      <c r="G48" s="86">
        <v>0</v>
      </c>
      <c r="H48" s="86">
        <v>0</v>
      </c>
      <c r="I48" s="86">
        <v>0</v>
      </c>
      <c r="J48" s="86">
        <v>0</v>
      </c>
      <c r="K48" s="86">
        <v>1</v>
      </c>
      <c r="P48" s="147"/>
      <c r="Q48" s="147"/>
      <c r="R48" s="147"/>
      <c r="S48" s="147"/>
      <c r="T48" s="147"/>
      <c r="U48" s="147"/>
      <c r="V48" s="147"/>
      <c r="W48" s="147"/>
      <c r="X48" s="147"/>
      <c r="AA48" s="147"/>
      <c r="AB48" s="147"/>
      <c r="AC48" s="147"/>
      <c r="AD48" s="147"/>
      <c r="AE48" s="147"/>
      <c r="AF48" s="147"/>
      <c r="AG48" s="147"/>
      <c r="AH48" s="147"/>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row>
    <row r="49" spans="1:61" ht="15.4" x14ac:dyDescent="0.45">
      <c r="A49" s="3" t="s">
        <v>41</v>
      </c>
      <c r="B49" s="86">
        <v>1</v>
      </c>
      <c r="C49" s="86">
        <v>2</v>
      </c>
      <c r="D49" s="86">
        <v>25</v>
      </c>
      <c r="E49" s="86">
        <v>5</v>
      </c>
      <c r="F49" s="86">
        <v>7</v>
      </c>
      <c r="G49" s="86">
        <v>0</v>
      </c>
      <c r="H49" s="86">
        <v>0</v>
      </c>
      <c r="I49" s="86">
        <v>2</v>
      </c>
      <c r="J49" s="86">
        <v>0</v>
      </c>
      <c r="K49" s="86">
        <v>42</v>
      </c>
      <c r="O49" s="145"/>
      <c r="P49" s="149"/>
      <c r="Q49" s="149"/>
      <c r="R49" s="149"/>
      <c r="S49" s="150"/>
      <c r="T49" s="149"/>
      <c r="U49" s="149"/>
      <c r="V49" s="149"/>
      <c r="W49" s="149"/>
      <c r="X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row>
    <row r="50" spans="1:61" ht="15.4" x14ac:dyDescent="0.45">
      <c r="A50" s="3" t="s">
        <v>2</v>
      </c>
      <c r="B50" s="86">
        <v>0</v>
      </c>
      <c r="C50" s="86">
        <v>6</v>
      </c>
      <c r="D50" s="86">
        <v>14</v>
      </c>
      <c r="E50" s="86">
        <v>134</v>
      </c>
      <c r="F50" s="86">
        <v>137</v>
      </c>
      <c r="G50" s="86">
        <v>3</v>
      </c>
      <c r="H50" s="86">
        <v>8</v>
      </c>
      <c r="I50" s="86">
        <v>13</v>
      </c>
      <c r="J50" s="86">
        <v>0</v>
      </c>
      <c r="K50" s="86">
        <v>315</v>
      </c>
      <c r="O50" s="145"/>
      <c r="P50" s="149"/>
      <c r="Q50" s="149"/>
      <c r="R50" s="149"/>
      <c r="S50" s="149"/>
      <c r="T50" s="149"/>
      <c r="U50" s="149"/>
      <c r="V50" s="149"/>
      <c r="W50" s="149"/>
      <c r="X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row>
    <row r="51" spans="1:61" ht="15.4" x14ac:dyDescent="0.45">
      <c r="A51" s="3" t="s">
        <v>43</v>
      </c>
      <c r="B51" s="86">
        <v>0</v>
      </c>
      <c r="C51" s="86">
        <v>0</v>
      </c>
      <c r="D51" s="86">
        <v>0</v>
      </c>
      <c r="E51" s="86">
        <v>2</v>
      </c>
      <c r="F51" s="86">
        <v>2</v>
      </c>
      <c r="G51" s="86">
        <v>0</v>
      </c>
      <c r="H51" s="86">
        <v>2</v>
      </c>
      <c r="I51" s="86">
        <v>1</v>
      </c>
      <c r="J51" s="86">
        <v>4</v>
      </c>
      <c r="K51" s="86">
        <v>11</v>
      </c>
      <c r="O51" s="145"/>
      <c r="P51" s="149"/>
      <c r="Q51" s="149"/>
      <c r="R51" s="149"/>
      <c r="S51" s="149"/>
      <c r="T51" s="149"/>
      <c r="U51" s="149"/>
      <c r="V51" s="149"/>
      <c r="W51" s="149"/>
      <c r="X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row>
    <row r="52" spans="1:61" ht="15.4" x14ac:dyDescent="0.45">
      <c r="A52" s="3" t="s">
        <v>3</v>
      </c>
      <c r="B52" s="86">
        <v>0</v>
      </c>
      <c r="C52" s="86">
        <v>4</v>
      </c>
      <c r="D52" s="86">
        <v>3</v>
      </c>
      <c r="E52" s="86">
        <v>14</v>
      </c>
      <c r="F52" s="86">
        <v>5</v>
      </c>
      <c r="G52" s="86">
        <v>1</v>
      </c>
      <c r="H52" s="86">
        <v>3</v>
      </c>
      <c r="I52" s="86">
        <v>4</v>
      </c>
      <c r="J52" s="86">
        <v>2</v>
      </c>
      <c r="K52" s="86">
        <v>36</v>
      </c>
      <c r="O52" s="145"/>
      <c r="P52" s="149"/>
      <c r="Q52" s="150"/>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row>
    <row r="53" spans="1:61" ht="15.4" x14ac:dyDescent="0.45">
      <c r="A53" s="3" t="s">
        <v>4</v>
      </c>
      <c r="B53" s="86">
        <v>0</v>
      </c>
      <c r="C53" s="86">
        <v>5</v>
      </c>
      <c r="D53" s="86">
        <v>0</v>
      </c>
      <c r="E53" s="86">
        <v>14</v>
      </c>
      <c r="F53" s="86">
        <v>4</v>
      </c>
      <c r="G53" s="86">
        <v>2</v>
      </c>
      <c r="H53" s="86">
        <v>0</v>
      </c>
      <c r="I53" s="86">
        <v>1</v>
      </c>
      <c r="J53" s="86">
        <v>0</v>
      </c>
      <c r="K53" s="86">
        <v>26</v>
      </c>
      <c r="O53" s="145"/>
      <c r="P53" s="150"/>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row>
    <row r="54" spans="1:61" ht="15.4" x14ac:dyDescent="0.45">
      <c r="A54" s="3" t="s">
        <v>48</v>
      </c>
      <c r="B54" s="86">
        <v>0</v>
      </c>
      <c r="C54" s="86">
        <v>10</v>
      </c>
      <c r="D54" s="86">
        <v>0</v>
      </c>
      <c r="E54" s="86">
        <v>3</v>
      </c>
      <c r="F54" s="86">
        <v>0</v>
      </c>
      <c r="G54" s="86">
        <v>0</v>
      </c>
      <c r="H54" s="86">
        <v>0</v>
      </c>
      <c r="I54" s="86">
        <v>5</v>
      </c>
      <c r="J54" s="86">
        <v>0</v>
      </c>
      <c r="K54" s="86">
        <v>18</v>
      </c>
      <c r="O54" s="145"/>
      <c r="P54" s="149"/>
      <c r="Q54" s="149"/>
      <c r="R54" s="149"/>
      <c r="S54" s="149"/>
      <c r="T54" s="150"/>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row>
    <row r="55" spans="1:61" ht="15.4" x14ac:dyDescent="0.45">
      <c r="A55" s="3" t="s">
        <v>6</v>
      </c>
      <c r="B55" s="86">
        <v>0</v>
      </c>
      <c r="C55" s="86">
        <v>0</v>
      </c>
      <c r="D55" s="86">
        <v>0</v>
      </c>
      <c r="E55" s="86">
        <v>0</v>
      </c>
      <c r="F55" s="86">
        <v>0</v>
      </c>
      <c r="G55" s="86">
        <v>0</v>
      </c>
      <c r="H55" s="86">
        <v>0</v>
      </c>
      <c r="I55" s="86">
        <v>0</v>
      </c>
      <c r="J55" s="86">
        <v>0</v>
      </c>
      <c r="K55" s="86">
        <v>0</v>
      </c>
      <c r="O55" s="146"/>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row>
    <row r="56" spans="1:61" x14ac:dyDescent="0.45">
      <c r="A56" s="3" t="s">
        <v>7</v>
      </c>
      <c r="B56" s="86">
        <v>0</v>
      </c>
      <c r="C56" s="86">
        <v>0</v>
      </c>
      <c r="D56" s="86">
        <v>0</v>
      </c>
      <c r="E56" s="86">
        <v>0</v>
      </c>
      <c r="F56" s="86">
        <v>2</v>
      </c>
      <c r="G56" s="86">
        <v>1</v>
      </c>
      <c r="H56" s="86">
        <v>1</v>
      </c>
      <c r="I56" s="86">
        <v>5</v>
      </c>
      <c r="J56" s="86">
        <v>13</v>
      </c>
      <c r="K56" s="86">
        <v>22</v>
      </c>
    </row>
    <row r="57" spans="1:61" x14ac:dyDescent="0.45">
      <c r="A57" s="3" t="s">
        <v>50</v>
      </c>
      <c r="B57" s="86">
        <v>0</v>
      </c>
      <c r="C57" s="86">
        <v>0</v>
      </c>
      <c r="D57" s="86">
        <v>0</v>
      </c>
      <c r="E57" s="86">
        <v>0</v>
      </c>
      <c r="F57" s="86">
        <v>0</v>
      </c>
      <c r="G57" s="86">
        <v>0</v>
      </c>
      <c r="H57" s="86">
        <v>0</v>
      </c>
      <c r="I57" s="86">
        <v>0</v>
      </c>
      <c r="J57" s="86">
        <v>0</v>
      </c>
      <c r="K57" s="86">
        <v>0</v>
      </c>
    </row>
    <row r="58" spans="1:61" x14ac:dyDescent="0.45">
      <c r="A58" s="3" t="s">
        <v>51</v>
      </c>
      <c r="B58" s="86">
        <v>0</v>
      </c>
      <c r="C58" s="86">
        <v>0</v>
      </c>
      <c r="D58" s="86">
        <v>0</v>
      </c>
      <c r="E58" s="86">
        <v>0</v>
      </c>
      <c r="F58" s="86">
        <v>0</v>
      </c>
      <c r="G58" s="86">
        <v>0</v>
      </c>
      <c r="H58" s="86">
        <v>0</v>
      </c>
      <c r="I58" s="86">
        <v>0</v>
      </c>
      <c r="J58" s="86">
        <v>0</v>
      </c>
      <c r="K58" s="86">
        <v>0</v>
      </c>
    </row>
    <row r="59" spans="1:61" x14ac:dyDescent="0.45">
      <c r="A59" s="3" t="s">
        <v>42</v>
      </c>
      <c r="B59" s="86">
        <v>0</v>
      </c>
      <c r="C59" s="86">
        <v>0</v>
      </c>
      <c r="D59" s="86">
        <v>0</v>
      </c>
      <c r="E59" s="86">
        <v>0</v>
      </c>
      <c r="F59" s="86">
        <v>0</v>
      </c>
      <c r="G59" s="86">
        <v>1</v>
      </c>
      <c r="H59" s="86">
        <v>0</v>
      </c>
      <c r="I59" s="86">
        <v>11</v>
      </c>
      <c r="J59" s="86">
        <v>0</v>
      </c>
      <c r="K59" s="86">
        <v>12</v>
      </c>
    </row>
    <row r="60" spans="1:61" x14ac:dyDescent="0.45">
      <c r="A60" s="3" t="s">
        <v>8</v>
      </c>
      <c r="B60" s="86">
        <v>0</v>
      </c>
      <c r="C60" s="86">
        <v>0</v>
      </c>
      <c r="D60" s="86">
        <v>0</v>
      </c>
      <c r="E60" s="86">
        <v>0</v>
      </c>
      <c r="F60" s="86">
        <v>3</v>
      </c>
      <c r="G60" s="86">
        <v>4</v>
      </c>
      <c r="H60" s="86">
        <v>26</v>
      </c>
      <c r="I60" s="86">
        <v>17</v>
      </c>
      <c r="J60" s="86">
        <v>6</v>
      </c>
      <c r="K60" s="86">
        <v>56</v>
      </c>
    </row>
    <row r="61" spans="1:61" x14ac:dyDescent="0.45">
      <c r="A61" s="3" t="s">
        <v>9</v>
      </c>
      <c r="B61" s="86">
        <v>0</v>
      </c>
      <c r="C61" s="86">
        <v>0</v>
      </c>
      <c r="D61" s="86">
        <v>0</v>
      </c>
      <c r="E61" s="86">
        <v>22</v>
      </c>
      <c r="F61" s="86">
        <v>31</v>
      </c>
      <c r="G61" s="86">
        <v>8</v>
      </c>
      <c r="H61" s="86">
        <v>2</v>
      </c>
      <c r="I61" s="86">
        <v>33</v>
      </c>
      <c r="J61" s="86">
        <v>14</v>
      </c>
      <c r="K61" s="86">
        <v>110</v>
      </c>
    </row>
    <row r="62" spans="1:61" x14ac:dyDescent="0.45">
      <c r="A62" s="3" t="s">
        <v>44</v>
      </c>
      <c r="B62" s="86">
        <v>0</v>
      </c>
      <c r="C62" s="86">
        <v>0</v>
      </c>
      <c r="D62" s="86">
        <v>0</v>
      </c>
      <c r="E62" s="86">
        <v>0</v>
      </c>
      <c r="F62" s="86">
        <v>3</v>
      </c>
      <c r="G62" s="86">
        <v>0</v>
      </c>
      <c r="H62" s="86">
        <v>3</v>
      </c>
      <c r="I62" s="86">
        <v>1</v>
      </c>
      <c r="J62" s="86">
        <v>3</v>
      </c>
      <c r="K62" s="86">
        <v>10</v>
      </c>
    </row>
    <row r="63" spans="1:61" x14ac:dyDescent="0.45">
      <c r="A63" s="3" t="s">
        <v>10</v>
      </c>
      <c r="B63" s="86">
        <v>0</v>
      </c>
      <c r="C63" s="86">
        <v>0</v>
      </c>
      <c r="D63" s="86">
        <v>0</v>
      </c>
      <c r="E63" s="86">
        <v>0</v>
      </c>
      <c r="F63" s="86">
        <v>14</v>
      </c>
      <c r="G63" s="86">
        <v>110</v>
      </c>
      <c r="H63" s="86">
        <v>228</v>
      </c>
      <c r="I63" s="86">
        <v>20</v>
      </c>
      <c r="J63" s="86">
        <v>1</v>
      </c>
      <c r="K63" s="86">
        <v>373</v>
      </c>
    </row>
    <row r="64" spans="1:61" x14ac:dyDescent="0.45">
      <c r="A64" s="3" t="s">
        <v>11</v>
      </c>
      <c r="B64" s="86">
        <v>0</v>
      </c>
      <c r="C64" s="86">
        <v>0</v>
      </c>
      <c r="D64" s="86">
        <v>7</v>
      </c>
      <c r="E64" s="86">
        <v>100</v>
      </c>
      <c r="F64" s="86">
        <v>500</v>
      </c>
      <c r="G64" s="86">
        <v>142</v>
      </c>
      <c r="H64" s="86">
        <v>3880</v>
      </c>
      <c r="I64" s="86">
        <v>367</v>
      </c>
      <c r="J64" s="86">
        <v>0</v>
      </c>
      <c r="K64" s="86">
        <v>4996</v>
      </c>
      <c r="O64" s="15"/>
      <c r="P64" s="15"/>
      <c r="Q64" s="15"/>
      <c r="R64" s="15"/>
    </row>
    <row r="65" spans="1:19" x14ac:dyDescent="0.45">
      <c r="A65" s="3" t="s">
        <v>12</v>
      </c>
      <c r="B65" s="86">
        <v>0</v>
      </c>
      <c r="C65" s="86">
        <v>0</v>
      </c>
      <c r="D65" s="86">
        <v>0</v>
      </c>
      <c r="E65" s="86">
        <v>0</v>
      </c>
      <c r="F65" s="86">
        <v>0</v>
      </c>
      <c r="G65" s="86">
        <v>2</v>
      </c>
      <c r="H65" s="86">
        <v>97</v>
      </c>
      <c r="I65" s="86">
        <v>146</v>
      </c>
      <c r="J65" s="86">
        <v>0</v>
      </c>
      <c r="K65" s="86">
        <v>245</v>
      </c>
      <c r="S65" s="15"/>
    </row>
    <row r="66" spans="1:19" x14ac:dyDescent="0.45">
      <c r="A66" s="3" t="s">
        <v>32</v>
      </c>
      <c r="B66" s="86">
        <v>0</v>
      </c>
      <c r="C66" s="86">
        <v>0</v>
      </c>
      <c r="D66" s="86">
        <v>0</v>
      </c>
      <c r="E66" s="86">
        <v>0</v>
      </c>
      <c r="F66" s="86">
        <v>3</v>
      </c>
      <c r="G66" s="86">
        <v>0</v>
      </c>
      <c r="H66" s="86">
        <v>2</v>
      </c>
      <c r="I66" s="86">
        <v>0</v>
      </c>
      <c r="J66" s="86">
        <v>0</v>
      </c>
      <c r="K66" s="86">
        <v>5</v>
      </c>
    </row>
    <row r="67" spans="1:19" x14ac:dyDescent="0.45">
      <c r="A67" s="3" t="s">
        <v>18</v>
      </c>
      <c r="B67" s="86">
        <v>0</v>
      </c>
      <c r="C67" s="86">
        <v>1</v>
      </c>
      <c r="D67" s="86">
        <v>15</v>
      </c>
      <c r="E67" s="86">
        <v>298</v>
      </c>
      <c r="F67" s="86">
        <v>92</v>
      </c>
      <c r="G67" s="86">
        <v>0</v>
      </c>
      <c r="H67" s="86">
        <v>54</v>
      </c>
      <c r="I67" s="86">
        <v>332</v>
      </c>
      <c r="J67" s="86">
        <v>11</v>
      </c>
      <c r="K67" s="86">
        <v>803</v>
      </c>
    </row>
    <row r="68" spans="1:19" x14ac:dyDescent="0.45">
      <c r="A68" s="3" t="s">
        <v>46</v>
      </c>
      <c r="B68" s="86">
        <v>0</v>
      </c>
      <c r="C68" s="86">
        <v>0</v>
      </c>
      <c r="D68" s="86">
        <v>0</v>
      </c>
      <c r="E68" s="86">
        <v>0</v>
      </c>
      <c r="F68" s="86">
        <v>0</v>
      </c>
      <c r="G68" s="86">
        <v>0</v>
      </c>
      <c r="H68" s="86">
        <v>0</v>
      </c>
      <c r="I68" s="86">
        <v>1</v>
      </c>
      <c r="J68" s="86">
        <v>0</v>
      </c>
      <c r="K68" s="86">
        <v>1</v>
      </c>
    </row>
    <row r="69" spans="1:19" x14ac:dyDescent="0.45">
      <c r="A69" s="3" t="s">
        <v>13</v>
      </c>
      <c r="B69" s="86">
        <v>0</v>
      </c>
      <c r="C69" s="86">
        <v>0</v>
      </c>
      <c r="D69" s="86">
        <v>0</v>
      </c>
      <c r="E69" s="86">
        <v>0</v>
      </c>
      <c r="F69" s="86">
        <v>0</v>
      </c>
      <c r="G69" s="86">
        <v>0</v>
      </c>
      <c r="H69" s="86">
        <v>0</v>
      </c>
      <c r="I69" s="86">
        <v>7</v>
      </c>
      <c r="J69" s="86">
        <v>0</v>
      </c>
      <c r="K69" s="86">
        <v>7</v>
      </c>
    </row>
    <row r="70" spans="1:19" x14ac:dyDescent="0.45">
      <c r="A70" s="3" t="s">
        <v>14</v>
      </c>
      <c r="B70" s="86">
        <v>0</v>
      </c>
      <c r="C70" s="86">
        <v>2</v>
      </c>
      <c r="D70" s="86">
        <v>32</v>
      </c>
      <c r="E70" s="86">
        <v>116</v>
      </c>
      <c r="F70" s="86">
        <v>101</v>
      </c>
      <c r="G70" s="86">
        <v>59</v>
      </c>
      <c r="H70" s="86">
        <v>192</v>
      </c>
      <c r="I70" s="86">
        <v>56</v>
      </c>
      <c r="J70" s="86">
        <v>3</v>
      </c>
      <c r="K70" s="86">
        <v>561</v>
      </c>
    </row>
    <row r="71" spans="1:19" x14ac:dyDescent="0.45">
      <c r="A71" s="3" t="s">
        <v>40</v>
      </c>
      <c r="B71" s="86">
        <v>350</v>
      </c>
      <c r="C71" s="86">
        <v>50</v>
      </c>
      <c r="D71" s="86">
        <v>0</v>
      </c>
      <c r="E71" s="86">
        <v>0</v>
      </c>
      <c r="F71" s="86">
        <v>0</v>
      </c>
      <c r="G71" s="86">
        <v>5</v>
      </c>
      <c r="H71" s="86">
        <v>0</v>
      </c>
      <c r="I71" s="86">
        <v>0</v>
      </c>
      <c r="J71" s="86">
        <v>0</v>
      </c>
      <c r="K71" s="86">
        <v>405</v>
      </c>
    </row>
    <row r="72" spans="1:19" x14ac:dyDescent="0.45">
      <c r="A72" s="3" t="s">
        <v>52</v>
      </c>
      <c r="B72" s="86">
        <v>0</v>
      </c>
      <c r="C72" s="86">
        <v>0</v>
      </c>
      <c r="D72" s="86">
        <v>0</v>
      </c>
      <c r="E72" s="86">
        <v>0</v>
      </c>
      <c r="F72" s="86">
        <v>0</v>
      </c>
      <c r="G72" s="86">
        <v>0</v>
      </c>
      <c r="H72" s="86">
        <v>0</v>
      </c>
      <c r="I72" s="86">
        <v>0</v>
      </c>
      <c r="J72" s="86">
        <v>0</v>
      </c>
      <c r="K72" s="86">
        <v>0</v>
      </c>
    </row>
    <row r="73" spans="1:19" x14ac:dyDescent="0.45">
      <c r="A73" s="3" t="s">
        <v>53</v>
      </c>
      <c r="B73" s="86">
        <v>0</v>
      </c>
      <c r="C73" s="86">
        <v>0</v>
      </c>
      <c r="D73" s="86">
        <v>0</v>
      </c>
      <c r="E73" s="86">
        <v>0</v>
      </c>
      <c r="F73" s="86">
        <v>0</v>
      </c>
      <c r="G73" s="86">
        <v>0</v>
      </c>
      <c r="H73" s="86">
        <v>0</v>
      </c>
      <c r="I73" s="86">
        <v>0</v>
      </c>
      <c r="J73" s="86">
        <v>0</v>
      </c>
      <c r="K73" s="86">
        <v>0</v>
      </c>
    </row>
    <row r="74" spans="1:19" x14ac:dyDescent="0.45">
      <c r="A74" s="3" t="s">
        <v>15</v>
      </c>
      <c r="B74" s="86">
        <v>0</v>
      </c>
      <c r="C74" s="86">
        <v>0</v>
      </c>
      <c r="D74" s="86">
        <v>0</v>
      </c>
      <c r="E74" s="86">
        <v>0</v>
      </c>
      <c r="F74" s="86">
        <v>0</v>
      </c>
      <c r="G74" s="86">
        <v>0</v>
      </c>
      <c r="H74" s="86">
        <v>0</v>
      </c>
      <c r="I74" s="86">
        <v>0</v>
      </c>
      <c r="J74" s="86">
        <v>0</v>
      </c>
      <c r="K74" s="86">
        <v>0</v>
      </c>
    </row>
    <row r="75" spans="1:19" x14ac:dyDescent="0.45">
      <c r="A75" s="3" t="s">
        <v>54</v>
      </c>
      <c r="B75" s="86">
        <v>0</v>
      </c>
      <c r="C75" s="86">
        <v>0</v>
      </c>
      <c r="D75" s="86">
        <v>0</v>
      </c>
      <c r="E75" s="86">
        <v>0</v>
      </c>
      <c r="F75" s="86">
        <v>0</v>
      </c>
      <c r="G75" s="86">
        <v>0</v>
      </c>
      <c r="H75" s="86">
        <v>0</v>
      </c>
      <c r="I75" s="86">
        <v>0</v>
      </c>
      <c r="J75" s="86">
        <v>0</v>
      </c>
      <c r="K75" s="86">
        <v>0</v>
      </c>
    </row>
    <row r="76" spans="1:19" x14ac:dyDescent="0.45">
      <c r="A76" s="3" t="s">
        <v>47</v>
      </c>
      <c r="B76" s="86">
        <v>0</v>
      </c>
      <c r="C76" s="86">
        <v>0</v>
      </c>
      <c r="D76" s="86">
        <v>0</v>
      </c>
      <c r="E76" s="86">
        <v>12</v>
      </c>
      <c r="F76" s="86">
        <v>3</v>
      </c>
      <c r="G76" s="86">
        <v>5</v>
      </c>
      <c r="H76" s="86">
        <v>31</v>
      </c>
      <c r="I76" s="86">
        <v>31</v>
      </c>
      <c r="J76" s="86">
        <v>0</v>
      </c>
      <c r="K76" s="86">
        <v>82</v>
      </c>
    </row>
    <row r="77" spans="1:19" x14ac:dyDescent="0.45">
      <c r="A77" s="3" t="s">
        <v>16</v>
      </c>
      <c r="B77" s="86">
        <v>0</v>
      </c>
      <c r="C77" s="86">
        <v>0</v>
      </c>
      <c r="D77" s="86">
        <v>0</v>
      </c>
      <c r="E77" s="86">
        <v>3</v>
      </c>
      <c r="F77" s="86">
        <v>1</v>
      </c>
      <c r="G77" s="86">
        <v>0</v>
      </c>
      <c r="H77" s="86">
        <v>0</v>
      </c>
      <c r="I77" s="86">
        <v>1</v>
      </c>
      <c r="J77" s="86">
        <v>0</v>
      </c>
      <c r="K77" s="86">
        <v>5</v>
      </c>
    </row>
    <row r="78" spans="1:19" x14ac:dyDescent="0.45">
      <c r="A78" s="6" t="s">
        <v>17</v>
      </c>
      <c r="B78" s="31">
        <v>0</v>
      </c>
      <c r="C78" s="31">
        <v>0</v>
      </c>
      <c r="D78" s="31">
        <v>0</v>
      </c>
      <c r="E78" s="31">
        <v>0</v>
      </c>
      <c r="F78" s="31">
        <v>300</v>
      </c>
      <c r="G78" s="31">
        <v>1000</v>
      </c>
      <c r="H78" s="31">
        <v>100</v>
      </c>
      <c r="I78" s="31">
        <v>100</v>
      </c>
      <c r="J78" s="31">
        <v>0</v>
      </c>
      <c r="K78" s="31">
        <v>1500</v>
      </c>
    </row>
    <row r="79" spans="1:19" x14ac:dyDescent="0.45">
      <c r="A79" s="11" t="s">
        <v>24</v>
      </c>
      <c r="B79" s="86">
        <f>SUM(B46:B78)</f>
        <v>351</v>
      </c>
      <c r="C79" s="86">
        <f t="shared" ref="C79:J79" si="4">SUM(C46:C78)</f>
        <v>81</v>
      </c>
      <c r="D79" s="86">
        <f t="shared" si="4"/>
        <v>96</v>
      </c>
      <c r="E79" s="86">
        <f t="shared" si="4"/>
        <v>726</v>
      </c>
      <c r="F79" s="86">
        <f t="shared" si="4"/>
        <v>1208</v>
      </c>
      <c r="G79" s="86">
        <f t="shared" si="4"/>
        <v>1348</v>
      </c>
      <c r="H79" s="86">
        <f t="shared" si="4"/>
        <v>4757</v>
      </c>
      <c r="I79" s="86">
        <f t="shared" si="4"/>
        <v>1208</v>
      </c>
      <c r="J79" s="86">
        <f t="shared" si="4"/>
        <v>70</v>
      </c>
      <c r="K79" s="86">
        <v>9845</v>
      </c>
    </row>
    <row r="80" spans="1:19" x14ac:dyDescent="0.45">
      <c r="B80" s="86"/>
      <c r="C80" s="86"/>
      <c r="D80" s="86"/>
      <c r="E80" s="86"/>
      <c r="F80" s="86"/>
      <c r="G80" s="86"/>
      <c r="H80" s="86"/>
      <c r="I80" s="86"/>
      <c r="J80" s="86"/>
      <c r="K80" s="86"/>
    </row>
    <row r="81" spans="1:11" x14ac:dyDescent="0.45">
      <c r="B81" s="86"/>
      <c r="C81" s="86"/>
      <c r="D81" s="86"/>
      <c r="E81" s="86"/>
      <c r="F81" s="86"/>
      <c r="G81" s="86"/>
      <c r="H81" s="86"/>
      <c r="I81" s="86"/>
      <c r="J81" s="86"/>
      <c r="K81" s="86"/>
    </row>
    <row r="83" spans="1:11" x14ac:dyDescent="0.45">
      <c r="A83" s="27" t="s">
        <v>70</v>
      </c>
      <c r="B83" s="106" t="s">
        <v>20</v>
      </c>
      <c r="C83" s="106"/>
      <c r="D83" s="106"/>
      <c r="E83" s="106"/>
      <c r="F83" s="106" t="s">
        <v>21</v>
      </c>
      <c r="G83" s="106"/>
      <c r="H83" s="106"/>
      <c r="I83" s="106"/>
      <c r="J83" s="106"/>
      <c r="K83" s="106"/>
    </row>
    <row r="84" spans="1:11" x14ac:dyDescent="0.45">
      <c r="A84" s="26" t="s">
        <v>19</v>
      </c>
      <c r="B84" s="107">
        <v>14</v>
      </c>
      <c r="C84" s="107">
        <v>19</v>
      </c>
      <c r="D84" s="107">
        <v>24</v>
      </c>
      <c r="E84" s="107">
        <v>29</v>
      </c>
      <c r="F84" s="107">
        <v>4</v>
      </c>
      <c r="G84" s="107">
        <v>9</v>
      </c>
      <c r="H84" s="107">
        <v>14</v>
      </c>
      <c r="I84" s="107">
        <v>19</v>
      </c>
      <c r="J84" s="107">
        <v>24</v>
      </c>
      <c r="K84" s="118" t="s">
        <v>24</v>
      </c>
    </row>
    <row r="85" spans="1:11" x14ac:dyDescent="0.45">
      <c r="A85" s="3" t="s">
        <v>1</v>
      </c>
      <c r="B85" s="86">
        <v>0</v>
      </c>
      <c r="C85" s="86">
        <v>0</v>
      </c>
      <c r="D85" s="86">
        <v>0</v>
      </c>
      <c r="E85" s="86">
        <v>1</v>
      </c>
      <c r="F85" s="86">
        <v>18</v>
      </c>
      <c r="G85" s="86">
        <v>21</v>
      </c>
      <c r="H85" s="86">
        <v>64</v>
      </c>
      <c r="I85" s="86">
        <v>43</v>
      </c>
      <c r="J85" s="86">
        <v>50</v>
      </c>
      <c r="K85" s="86">
        <v>197</v>
      </c>
    </row>
    <row r="86" spans="1:11" x14ac:dyDescent="0.45">
      <c r="A86" s="3" t="s">
        <v>49</v>
      </c>
      <c r="B86" s="86">
        <v>0</v>
      </c>
      <c r="C86" s="86">
        <v>0</v>
      </c>
      <c r="D86" s="86">
        <v>0</v>
      </c>
      <c r="E86" s="86">
        <v>0</v>
      </c>
      <c r="F86" s="86">
        <v>0</v>
      </c>
      <c r="G86" s="86">
        <v>0</v>
      </c>
      <c r="H86" s="86">
        <v>0</v>
      </c>
      <c r="I86" s="86">
        <v>0</v>
      </c>
      <c r="J86" s="86">
        <v>0</v>
      </c>
      <c r="K86" s="86">
        <v>0</v>
      </c>
    </row>
    <row r="87" spans="1:11" x14ac:dyDescent="0.45">
      <c r="A87" s="3" t="s">
        <v>45</v>
      </c>
      <c r="B87" s="86">
        <v>0</v>
      </c>
      <c r="C87" s="86">
        <v>0</v>
      </c>
      <c r="D87" s="86">
        <v>0</v>
      </c>
      <c r="E87" s="86">
        <v>0</v>
      </c>
      <c r="F87" s="86">
        <v>0</v>
      </c>
      <c r="G87" s="86">
        <v>0</v>
      </c>
      <c r="H87" s="86">
        <v>1</v>
      </c>
      <c r="I87" s="86">
        <v>0</v>
      </c>
      <c r="J87" s="86">
        <v>0</v>
      </c>
      <c r="K87" s="86">
        <v>1</v>
      </c>
    </row>
    <row r="88" spans="1:11" x14ac:dyDescent="0.45">
      <c r="A88" s="3" t="s">
        <v>41</v>
      </c>
      <c r="B88" s="86">
        <v>0</v>
      </c>
      <c r="C88" s="86">
        <v>0</v>
      </c>
      <c r="D88" s="86">
        <v>0</v>
      </c>
      <c r="E88" s="86">
        <v>0</v>
      </c>
      <c r="F88" s="86">
        <v>2</v>
      </c>
      <c r="G88" s="86">
        <v>3</v>
      </c>
      <c r="H88" s="86">
        <v>0</v>
      </c>
      <c r="I88" s="86">
        <v>0</v>
      </c>
      <c r="J88" s="86">
        <v>0</v>
      </c>
      <c r="K88" s="86">
        <v>5</v>
      </c>
    </row>
    <row r="89" spans="1:11" x14ac:dyDescent="0.45">
      <c r="A89" s="3" t="s">
        <v>2</v>
      </c>
      <c r="B89" s="86">
        <v>0</v>
      </c>
      <c r="C89" s="86">
        <v>38</v>
      </c>
      <c r="D89" s="86">
        <v>11</v>
      </c>
      <c r="E89" s="86">
        <v>35</v>
      </c>
      <c r="F89" s="86">
        <v>127</v>
      </c>
      <c r="G89" s="86">
        <v>60</v>
      </c>
      <c r="H89" s="86">
        <v>9</v>
      </c>
      <c r="I89" s="86">
        <v>0</v>
      </c>
      <c r="J89" s="86">
        <v>2</v>
      </c>
      <c r="K89" s="86">
        <v>282</v>
      </c>
    </row>
    <row r="90" spans="1:11" x14ac:dyDescent="0.45">
      <c r="A90" s="3" t="s">
        <v>43</v>
      </c>
      <c r="B90" s="86">
        <v>2</v>
      </c>
      <c r="C90" s="86">
        <v>2</v>
      </c>
      <c r="D90" s="86">
        <v>0</v>
      </c>
      <c r="E90" s="86">
        <v>0</v>
      </c>
      <c r="F90" s="86">
        <v>0</v>
      </c>
      <c r="G90" s="86">
        <v>2</v>
      </c>
      <c r="H90" s="86">
        <v>3</v>
      </c>
      <c r="I90" s="86">
        <v>2</v>
      </c>
      <c r="J90" s="86">
        <v>2</v>
      </c>
      <c r="K90" s="86">
        <v>13</v>
      </c>
    </row>
    <row r="91" spans="1:11" x14ac:dyDescent="0.45">
      <c r="A91" s="3" t="s">
        <v>3</v>
      </c>
      <c r="B91" s="86">
        <v>6</v>
      </c>
      <c r="C91" s="86">
        <v>0</v>
      </c>
      <c r="D91" s="86">
        <v>12</v>
      </c>
      <c r="E91" s="86">
        <v>10</v>
      </c>
      <c r="F91" s="86">
        <v>11</v>
      </c>
      <c r="G91" s="86">
        <v>12</v>
      </c>
      <c r="H91" s="86">
        <v>3</v>
      </c>
      <c r="I91" s="86">
        <v>2</v>
      </c>
      <c r="J91" s="86">
        <v>3</v>
      </c>
      <c r="K91" s="86">
        <v>59</v>
      </c>
    </row>
    <row r="92" spans="1:11" x14ac:dyDescent="0.45">
      <c r="A92" s="3" t="s">
        <v>4</v>
      </c>
      <c r="B92" s="86">
        <v>0</v>
      </c>
      <c r="C92" s="86">
        <v>0</v>
      </c>
      <c r="D92" s="86">
        <v>0</v>
      </c>
      <c r="E92" s="86">
        <v>1</v>
      </c>
      <c r="F92" s="86">
        <v>1</v>
      </c>
      <c r="G92" s="86">
        <v>1</v>
      </c>
      <c r="H92" s="86">
        <v>0</v>
      </c>
      <c r="I92" s="86">
        <v>0</v>
      </c>
      <c r="J92" s="86">
        <v>0</v>
      </c>
      <c r="K92" s="86">
        <v>3</v>
      </c>
    </row>
    <row r="93" spans="1:11" x14ac:dyDescent="0.45">
      <c r="A93" s="3" t="s">
        <v>48</v>
      </c>
      <c r="B93" s="86">
        <v>0</v>
      </c>
      <c r="C93" s="86">
        <v>0</v>
      </c>
      <c r="D93" s="86">
        <v>0</v>
      </c>
      <c r="E93" s="86">
        <v>0</v>
      </c>
      <c r="F93" s="86">
        <v>0</v>
      </c>
      <c r="G93" s="86">
        <v>0</v>
      </c>
      <c r="H93" s="86">
        <v>0</v>
      </c>
      <c r="I93" s="86">
        <v>0</v>
      </c>
      <c r="J93" s="86">
        <v>0</v>
      </c>
      <c r="K93" s="86">
        <v>0</v>
      </c>
    </row>
    <row r="94" spans="1:11" x14ac:dyDescent="0.45">
      <c r="A94" s="3" t="s">
        <v>6</v>
      </c>
      <c r="B94" s="86">
        <v>0</v>
      </c>
      <c r="C94" s="86">
        <v>0</v>
      </c>
      <c r="D94" s="86">
        <v>0</v>
      </c>
      <c r="E94" s="86">
        <v>0</v>
      </c>
      <c r="F94" s="86">
        <v>0</v>
      </c>
      <c r="G94" s="86">
        <v>0</v>
      </c>
      <c r="H94" s="86">
        <v>0</v>
      </c>
      <c r="I94" s="86">
        <v>0</v>
      </c>
      <c r="J94" s="86">
        <v>0</v>
      </c>
      <c r="K94" s="86">
        <v>0</v>
      </c>
    </row>
    <row r="95" spans="1:11" x14ac:dyDescent="0.45">
      <c r="A95" s="3" t="s">
        <v>7</v>
      </c>
      <c r="B95" s="86">
        <v>0</v>
      </c>
      <c r="C95" s="86">
        <v>0</v>
      </c>
      <c r="D95" s="86">
        <v>0</v>
      </c>
      <c r="E95" s="86">
        <v>0</v>
      </c>
      <c r="F95" s="86">
        <v>0</v>
      </c>
      <c r="G95" s="86">
        <v>2</v>
      </c>
      <c r="H95" s="86">
        <v>10</v>
      </c>
      <c r="I95" s="86">
        <v>4</v>
      </c>
      <c r="J95" s="86">
        <v>11</v>
      </c>
      <c r="K95" s="86">
        <v>27</v>
      </c>
    </row>
    <row r="96" spans="1:11" x14ac:dyDescent="0.45">
      <c r="A96" s="3" t="s">
        <v>50</v>
      </c>
      <c r="B96" s="86">
        <v>0</v>
      </c>
      <c r="C96" s="86">
        <v>0</v>
      </c>
      <c r="D96" s="86">
        <v>0</v>
      </c>
      <c r="E96" s="86">
        <v>0</v>
      </c>
      <c r="F96" s="86">
        <v>0</v>
      </c>
      <c r="G96" s="86">
        <v>0</v>
      </c>
      <c r="H96" s="86">
        <v>0</v>
      </c>
      <c r="I96" s="86">
        <v>0</v>
      </c>
      <c r="J96" s="86">
        <v>0</v>
      </c>
      <c r="K96" s="86">
        <v>0</v>
      </c>
    </row>
    <row r="97" spans="1:11" x14ac:dyDescent="0.45">
      <c r="A97" s="3" t="s">
        <v>51</v>
      </c>
      <c r="B97" s="86">
        <v>0</v>
      </c>
      <c r="C97" s="86">
        <v>0</v>
      </c>
      <c r="D97" s="86">
        <v>0</v>
      </c>
      <c r="E97" s="86">
        <v>0</v>
      </c>
      <c r="F97" s="86">
        <v>0</v>
      </c>
      <c r="G97" s="86">
        <v>0</v>
      </c>
      <c r="H97" s="86">
        <v>1</v>
      </c>
      <c r="I97" s="86">
        <v>1</v>
      </c>
      <c r="J97" s="86">
        <v>0</v>
      </c>
      <c r="K97" s="86">
        <v>2</v>
      </c>
    </row>
    <row r="98" spans="1:11" x14ac:dyDescent="0.45">
      <c r="A98" s="3" t="s">
        <v>42</v>
      </c>
      <c r="B98" s="86">
        <v>0</v>
      </c>
      <c r="C98" s="86">
        <v>0</v>
      </c>
      <c r="D98" s="86">
        <v>0</v>
      </c>
      <c r="E98" s="86">
        <v>0</v>
      </c>
      <c r="F98" s="86">
        <v>0</v>
      </c>
      <c r="G98" s="86">
        <v>1</v>
      </c>
      <c r="H98" s="86">
        <v>0</v>
      </c>
      <c r="I98" s="86">
        <v>0</v>
      </c>
      <c r="J98" s="86">
        <v>0</v>
      </c>
      <c r="K98" s="86">
        <v>1</v>
      </c>
    </row>
    <row r="99" spans="1:11" x14ac:dyDescent="0.45">
      <c r="A99" s="3" t="s">
        <v>8</v>
      </c>
      <c r="B99" s="86">
        <v>0</v>
      </c>
      <c r="C99" s="86">
        <v>0</v>
      </c>
      <c r="D99" s="86">
        <v>0</v>
      </c>
      <c r="E99" s="86">
        <v>0</v>
      </c>
      <c r="F99" s="86">
        <v>0</v>
      </c>
      <c r="G99" s="86">
        <v>4</v>
      </c>
      <c r="H99" s="86">
        <v>12</v>
      </c>
      <c r="I99" s="86">
        <v>8</v>
      </c>
      <c r="J99" s="86">
        <v>6</v>
      </c>
      <c r="K99" s="86">
        <v>30</v>
      </c>
    </row>
    <row r="100" spans="1:11" x14ac:dyDescent="0.45">
      <c r="A100" s="3" t="s">
        <v>9</v>
      </c>
      <c r="B100" s="86">
        <v>0</v>
      </c>
      <c r="C100" s="86">
        <v>0</v>
      </c>
      <c r="D100" s="86">
        <v>0</v>
      </c>
      <c r="E100" s="86">
        <v>0</v>
      </c>
      <c r="F100" s="86">
        <v>133</v>
      </c>
      <c r="G100" s="86">
        <v>290</v>
      </c>
      <c r="H100" s="86">
        <v>84</v>
      </c>
      <c r="I100" s="86">
        <v>56</v>
      </c>
      <c r="J100" s="86">
        <v>11</v>
      </c>
      <c r="K100" s="86">
        <v>574</v>
      </c>
    </row>
    <row r="101" spans="1:11" x14ac:dyDescent="0.45">
      <c r="A101" s="3" t="s">
        <v>44</v>
      </c>
      <c r="B101" s="86">
        <v>0</v>
      </c>
      <c r="C101" s="86">
        <v>0</v>
      </c>
      <c r="D101" s="86">
        <v>0</v>
      </c>
      <c r="E101" s="86">
        <v>0</v>
      </c>
      <c r="F101" s="86">
        <v>0</v>
      </c>
      <c r="G101" s="86">
        <v>0</v>
      </c>
      <c r="H101" s="86">
        <v>1</v>
      </c>
      <c r="I101" s="86">
        <v>0</v>
      </c>
      <c r="J101" s="86">
        <v>0</v>
      </c>
      <c r="K101" s="86">
        <v>1</v>
      </c>
    </row>
    <row r="102" spans="1:11" x14ac:dyDescent="0.45">
      <c r="A102" s="3" t="s">
        <v>10</v>
      </c>
      <c r="B102" s="86">
        <v>0</v>
      </c>
      <c r="C102" s="86">
        <v>0</v>
      </c>
      <c r="D102" s="86">
        <v>0</v>
      </c>
      <c r="E102" s="86">
        <v>0</v>
      </c>
      <c r="F102" s="86">
        <v>1</v>
      </c>
      <c r="G102" s="86">
        <v>7</v>
      </c>
      <c r="H102" s="86">
        <v>113</v>
      </c>
      <c r="I102" s="86">
        <v>0</v>
      </c>
      <c r="J102" s="86">
        <v>0</v>
      </c>
      <c r="K102" s="86">
        <v>121</v>
      </c>
    </row>
    <row r="103" spans="1:11" x14ac:dyDescent="0.45">
      <c r="A103" s="3" t="s">
        <v>11</v>
      </c>
      <c r="B103" s="86">
        <v>0</v>
      </c>
      <c r="C103" s="86">
        <v>0</v>
      </c>
      <c r="D103" s="86">
        <v>0</v>
      </c>
      <c r="E103" s="86">
        <v>0</v>
      </c>
      <c r="F103" s="86">
        <v>84</v>
      </c>
      <c r="G103" s="86">
        <v>2125</v>
      </c>
      <c r="H103" s="86">
        <v>1850</v>
      </c>
      <c r="I103" s="86">
        <v>39</v>
      </c>
      <c r="J103" s="86">
        <v>2</v>
      </c>
      <c r="K103" s="86">
        <v>4100</v>
      </c>
    </row>
    <row r="104" spans="1:11" x14ac:dyDescent="0.45">
      <c r="A104" s="3" t="s">
        <v>12</v>
      </c>
      <c r="B104" s="86">
        <v>0</v>
      </c>
      <c r="C104" s="86">
        <v>0</v>
      </c>
      <c r="D104" s="86">
        <v>0</v>
      </c>
      <c r="E104" s="86">
        <v>13</v>
      </c>
      <c r="F104" s="86">
        <v>47</v>
      </c>
      <c r="G104" s="86">
        <v>105</v>
      </c>
      <c r="H104" s="86">
        <v>38</v>
      </c>
      <c r="I104" s="86">
        <v>15</v>
      </c>
      <c r="J104" s="86">
        <v>1</v>
      </c>
      <c r="K104" s="86">
        <v>219</v>
      </c>
    </row>
    <row r="105" spans="1:11" x14ac:dyDescent="0.45">
      <c r="A105" s="3" t="s">
        <v>32</v>
      </c>
      <c r="B105" s="86">
        <v>0</v>
      </c>
      <c r="C105" s="86">
        <v>0</v>
      </c>
      <c r="D105" s="86">
        <v>0</v>
      </c>
      <c r="E105" s="86">
        <v>0</v>
      </c>
      <c r="F105" s="86">
        <v>0</v>
      </c>
      <c r="G105" s="86">
        <v>2</v>
      </c>
      <c r="H105" s="86">
        <v>1</v>
      </c>
      <c r="I105" s="86">
        <v>0</v>
      </c>
      <c r="J105" s="86">
        <v>0</v>
      </c>
      <c r="K105" s="86">
        <v>3</v>
      </c>
    </row>
    <row r="106" spans="1:11" x14ac:dyDescent="0.45">
      <c r="A106" s="3" t="s">
        <v>18</v>
      </c>
      <c r="B106" s="86">
        <v>0</v>
      </c>
      <c r="C106" s="86">
        <v>0</v>
      </c>
      <c r="D106" s="86">
        <v>0</v>
      </c>
      <c r="E106" s="86">
        <v>0</v>
      </c>
      <c r="F106" s="86">
        <v>79</v>
      </c>
      <c r="G106" s="86">
        <v>315</v>
      </c>
      <c r="H106" s="86">
        <v>2934</v>
      </c>
      <c r="I106" s="86">
        <v>5</v>
      </c>
      <c r="J106" s="86">
        <v>3</v>
      </c>
      <c r="K106" s="86">
        <v>3336</v>
      </c>
    </row>
    <row r="107" spans="1:11" x14ac:dyDescent="0.45">
      <c r="A107" s="3" t="s">
        <v>46</v>
      </c>
      <c r="B107" s="86">
        <v>0</v>
      </c>
      <c r="C107" s="86">
        <v>0</v>
      </c>
      <c r="D107" s="86">
        <v>0</v>
      </c>
      <c r="E107" s="86">
        <v>0</v>
      </c>
      <c r="F107" s="86">
        <v>0</v>
      </c>
      <c r="G107" s="86">
        <v>0</v>
      </c>
      <c r="H107" s="86">
        <v>0</v>
      </c>
      <c r="I107" s="86">
        <v>8</v>
      </c>
      <c r="J107" s="86">
        <v>0</v>
      </c>
      <c r="K107" s="86">
        <v>8</v>
      </c>
    </row>
    <row r="108" spans="1:11" x14ac:dyDescent="0.45">
      <c r="A108" s="3" t="s">
        <v>13</v>
      </c>
      <c r="B108" s="86">
        <v>0</v>
      </c>
      <c r="C108" s="86">
        <v>0</v>
      </c>
      <c r="D108" s="86">
        <v>0</v>
      </c>
      <c r="E108" s="86">
        <v>0</v>
      </c>
      <c r="F108" s="86">
        <v>0</v>
      </c>
      <c r="G108" s="86">
        <v>0</v>
      </c>
      <c r="H108" s="86">
        <v>0</v>
      </c>
      <c r="I108" s="86">
        <v>0</v>
      </c>
      <c r="J108" s="86">
        <v>0</v>
      </c>
      <c r="K108" s="86">
        <v>0</v>
      </c>
    </row>
    <row r="109" spans="1:11" x14ac:dyDescent="0.45">
      <c r="A109" s="3" t="s">
        <v>14</v>
      </c>
      <c r="B109" s="86">
        <v>250</v>
      </c>
      <c r="C109" s="86">
        <v>29</v>
      </c>
      <c r="D109" s="86">
        <v>0</v>
      </c>
      <c r="E109" s="86">
        <v>0</v>
      </c>
      <c r="F109" s="86">
        <v>350</v>
      </c>
      <c r="G109" s="86">
        <v>157</v>
      </c>
      <c r="H109" s="86">
        <v>484</v>
      </c>
      <c r="I109" s="86">
        <v>11</v>
      </c>
      <c r="J109" s="86">
        <v>2</v>
      </c>
      <c r="K109" s="86">
        <v>1283</v>
      </c>
    </row>
    <row r="110" spans="1:11" x14ac:dyDescent="0.45">
      <c r="A110" s="3" t="s">
        <v>40</v>
      </c>
      <c r="B110" s="86">
        <v>251</v>
      </c>
      <c r="C110" s="86">
        <v>230</v>
      </c>
      <c r="D110" s="86">
        <v>0</v>
      </c>
      <c r="E110" s="86">
        <v>0</v>
      </c>
      <c r="F110" s="86">
        <v>1</v>
      </c>
      <c r="G110" s="86">
        <v>0</v>
      </c>
      <c r="H110" s="86">
        <v>0</v>
      </c>
      <c r="I110" s="86">
        <v>0</v>
      </c>
      <c r="J110" s="86">
        <v>0</v>
      </c>
      <c r="K110" s="86">
        <v>482</v>
      </c>
    </row>
    <row r="111" spans="1:11" x14ac:dyDescent="0.45">
      <c r="A111" s="3" t="s">
        <v>52</v>
      </c>
      <c r="B111" s="86">
        <v>0</v>
      </c>
      <c r="C111" s="86">
        <v>0</v>
      </c>
      <c r="D111" s="86">
        <v>0</v>
      </c>
      <c r="E111" s="86">
        <v>0</v>
      </c>
      <c r="F111" s="86">
        <v>0</v>
      </c>
      <c r="G111" s="86">
        <v>0</v>
      </c>
      <c r="H111" s="86">
        <v>0</v>
      </c>
      <c r="I111" s="86">
        <v>0</v>
      </c>
      <c r="J111" s="86">
        <v>0</v>
      </c>
      <c r="K111" s="86">
        <v>0</v>
      </c>
    </row>
    <row r="112" spans="1:11" x14ac:dyDescent="0.45">
      <c r="A112" s="3" t="s">
        <v>53</v>
      </c>
      <c r="B112" s="86">
        <v>0</v>
      </c>
      <c r="C112" s="86">
        <v>0</v>
      </c>
      <c r="D112" s="86">
        <v>0</v>
      </c>
      <c r="E112" s="86">
        <v>0</v>
      </c>
      <c r="F112" s="86">
        <v>0</v>
      </c>
      <c r="G112" s="86">
        <v>0</v>
      </c>
      <c r="H112" s="86">
        <v>2</v>
      </c>
      <c r="I112" s="86">
        <v>0</v>
      </c>
      <c r="J112" s="86">
        <v>0</v>
      </c>
      <c r="K112" s="86">
        <v>2</v>
      </c>
    </row>
    <row r="113" spans="1:12" x14ac:dyDescent="0.45">
      <c r="A113" s="3" t="s">
        <v>15</v>
      </c>
      <c r="B113" s="86">
        <v>0</v>
      </c>
      <c r="C113" s="86">
        <v>0</v>
      </c>
      <c r="D113" s="86">
        <v>0</v>
      </c>
      <c r="E113" s="86">
        <v>0</v>
      </c>
      <c r="F113" s="86">
        <v>22</v>
      </c>
      <c r="G113" s="86">
        <v>1</v>
      </c>
      <c r="H113" s="86">
        <v>0</v>
      </c>
      <c r="I113" s="86">
        <v>10</v>
      </c>
      <c r="J113" s="86">
        <v>0</v>
      </c>
      <c r="K113" s="86">
        <v>33</v>
      </c>
    </row>
    <row r="114" spans="1:12" x14ac:dyDescent="0.45">
      <c r="A114" s="3" t="s">
        <v>54</v>
      </c>
      <c r="B114" s="86">
        <v>0</v>
      </c>
      <c r="C114" s="86">
        <v>0</v>
      </c>
      <c r="D114" s="86">
        <v>0</v>
      </c>
      <c r="E114" s="86">
        <v>0</v>
      </c>
      <c r="F114" s="86">
        <v>0</v>
      </c>
      <c r="G114" s="86">
        <v>12</v>
      </c>
      <c r="H114" s="86">
        <v>2</v>
      </c>
      <c r="I114" s="86">
        <v>0</v>
      </c>
      <c r="J114" s="86">
        <v>1</v>
      </c>
      <c r="K114" s="86">
        <v>15</v>
      </c>
    </row>
    <row r="115" spans="1:12" x14ac:dyDescent="0.45">
      <c r="A115" s="3" t="s">
        <v>47</v>
      </c>
      <c r="B115" s="86">
        <v>0</v>
      </c>
      <c r="C115" s="86">
        <v>0</v>
      </c>
      <c r="D115" s="86">
        <v>0</v>
      </c>
      <c r="E115" s="86">
        <v>0</v>
      </c>
      <c r="F115" s="86">
        <v>30</v>
      </c>
      <c r="G115" s="86">
        <v>2</v>
      </c>
      <c r="H115" s="86">
        <v>10</v>
      </c>
      <c r="I115" s="86">
        <v>0</v>
      </c>
      <c r="J115" s="86">
        <v>15</v>
      </c>
      <c r="K115" s="86">
        <v>57</v>
      </c>
    </row>
    <row r="116" spans="1:12" x14ac:dyDescent="0.45">
      <c r="A116" s="3" t="s">
        <v>16</v>
      </c>
      <c r="B116" s="86">
        <v>0</v>
      </c>
      <c r="C116" s="86">
        <v>0</v>
      </c>
      <c r="D116" s="86">
        <v>0</v>
      </c>
      <c r="E116" s="86">
        <v>0</v>
      </c>
      <c r="F116" s="86">
        <v>0</v>
      </c>
      <c r="G116" s="86">
        <v>1</v>
      </c>
      <c r="H116" s="86">
        <v>0</v>
      </c>
      <c r="I116" s="86">
        <v>0</v>
      </c>
      <c r="J116" s="86">
        <v>0</v>
      </c>
      <c r="K116" s="86">
        <v>1</v>
      </c>
    </row>
    <row r="117" spans="1:12" x14ac:dyDescent="0.45">
      <c r="A117" s="6" t="s">
        <v>17</v>
      </c>
      <c r="B117" s="31">
        <v>0</v>
      </c>
      <c r="C117" s="31">
        <v>0</v>
      </c>
      <c r="D117" s="31">
        <v>0</v>
      </c>
      <c r="E117" s="31">
        <v>0</v>
      </c>
      <c r="F117" s="31">
        <v>0</v>
      </c>
      <c r="G117" s="31">
        <v>0</v>
      </c>
      <c r="H117" s="31">
        <v>3000</v>
      </c>
      <c r="I117" s="31">
        <v>2001</v>
      </c>
      <c r="J117" s="31">
        <v>151</v>
      </c>
      <c r="K117" s="31">
        <v>5152</v>
      </c>
    </row>
    <row r="118" spans="1:12" x14ac:dyDescent="0.45">
      <c r="A118" s="11" t="s">
        <v>24</v>
      </c>
      <c r="B118" s="86">
        <v>509</v>
      </c>
      <c r="C118" s="86">
        <v>299</v>
      </c>
      <c r="D118" s="86">
        <v>23</v>
      </c>
      <c r="E118" s="86">
        <v>60</v>
      </c>
      <c r="F118" s="86">
        <v>906</v>
      </c>
      <c r="G118" s="86">
        <v>3123</v>
      </c>
      <c r="H118" s="86">
        <v>8622</v>
      </c>
      <c r="I118" s="86">
        <v>2205</v>
      </c>
      <c r="J118" s="86">
        <v>260</v>
      </c>
      <c r="K118" s="86">
        <v>16007</v>
      </c>
      <c r="L118" s="17"/>
    </row>
    <row r="119" spans="1:12" x14ac:dyDescent="0.45">
      <c r="B119" s="86"/>
      <c r="C119" s="86"/>
      <c r="D119" s="86"/>
      <c r="E119" s="86"/>
      <c r="F119" s="86"/>
      <c r="G119" s="86"/>
      <c r="H119" s="86"/>
      <c r="I119" s="86"/>
      <c r="J119" s="86"/>
      <c r="K119" s="86"/>
    </row>
    <row r="120" spans="1:12" x14ac:dyDescent="0.45">
      <c r="B120" s="86"/>
      <c r="C120" s="86"/>
      <c r="D120" s="86"/>
      <c r="E120" s="86"/>
      <c r="F120" s="86"/>
      <c r="G120" s="86"/>
      <c r="H120" s="86"/>
      <c r="I120" s="86"/>
      <c r="J120" s="86"/>
      <c r="K120" s="86"/>
    </row>
    <row r="121" spans="1:12" x14ac:dyDescent="0.45">
      <c r="B121" s="86"/>
      <c r="C121" s="86"/>
      <c r="D121" s="86" t="s">
        <v>29</v>
      </c>
      <c r="E121" s="86"/>
      <c r="F121" s="86"/>
      <c r="G121" s="86"/>
      <c r="H121" s="86"/>
      <c r="I121" s="86"/>
      <c r="J121" s="86"/>
      <c r="K121" s="86"/>
    </row>
    <row r="122" spans="1:12" x14ac:dyDescent="0.45">
      <c r="B122" s="86"/>
      <c r="C122" s="86"/>
      <c r="D122" s="86"/>
      <c r="E122" s="86"/>
      <c r="F122" s="86"/>
      <c r="G122" s="86"/>
      <c r="H122" s="86"/>
      <c r="I122" s="86"/>
      <c r="J122" s="86"/>
      <c r="K122" s="86"/>
    </row>
    <row r="123" spans="1:12" x14ac:dyDescent="0.45">
      <c r="B123" s="86"/>
      <c r="C123" s="86"/>
      <c r="D123" s="86"/>
      <c r="E123" s="86"/>
      <c r="F123" s="86"/>
      <c r="G123" s="86"/>
      <c r="H123" s="86"/>
      <c r="I123" s="86"/>
      <c r="J123" s="86"/>
      <c r="K123" s="86"/>
    </row>
    <row r="124" spans="1:12" x14ac:dyDescent="0.45">
      <c r="A124" s="94" t="s">
        <v>127</v>
      </c>
      <c r="B124" s="119" t="s">
        <v>20</v>
      </c>
      <c r="C124" s="119"/>
      <c r="D124" s="119"/>
      <c r="E124" s="119"/>
      <c r="F124" s="119" t="s">
        <v>21</v>
      </c>
      <c r="G124" s="119"/>
      <c r="H124" s="119"/>
      <c r="I124" s="119"/>
      <c r="J124" s="119"/>
      <c r="K124" s="119"/>
    </row>
    <row r="125" spans="1:12" x14ac:dyDescent="0.45">
      <c r="A125" s="108" t="s">
        <v>19</v>
      </c>
      <c r="B125" s="107">
        <v>14</v>
      </c>
      <c r="C125" s="107">
        <v>19</v>
      </c>
      <c r="D125" s="107">
        <v>24</v>
      </c>
      <c r="E125" s="107">
        <v>29</v>
      </c>
      <c r="F125" s="107">
        <v>4</v>
      </c>
      <c r="G125" s="107">
        <v>9</v>
      </c>
      <c r="H125" s="107">
        <v>14</v>
      </c>
      <c r="I125" s="107">
        <v>19</v>
      </c>
      <c r="J125" s="107">
        <v>24</v>
      </c>
      <c r="K125" s="118" t="s">
        <v>24</v>
      </c>
    </row>
    <row r="126" spans="1:12" x14ac:dyDescent="0.45">
      <c r="A126" s="92" t="s">
        <v>1</v>
      </c>
      <c r="B126" s="86">
        <v>0</v>
      </c>
      <c r="C126" s="86">
        <v>0</v>
      </c>
      <c r="D126" s="86">
        <v>0</v>
      </c>
      <c r="E126" s="86">
        <v>4</v>
      </c>
      <c r="F126" s="86">
        <v>7</v>
      </c>
      <c r="G126" s="86">
        <v>30</v>
      </c>
      <c r="H126" s="86">
        <v>51</v>
      </c>
      <c r="I126" s="86">
        <v>29</v>
      </c>
      <c r="J126" s="86">
        <v>21</v>
      </c>
      <c r="K126" s="86">
        <v>142</v>
      </c>
    </row>
    <row r="127" spans="1:12" x14ac:dyDescent="0.45">
      <c r="A127" s="90" t="s">
        <v>49</v>
      </c>
      <c r="B127" s="86">
        <v>0</v>
      </c>
      <c r="C127" s="86">
        <v>0</v>
      </c>
      <c r="D127" s="86">
        <v>0</v>
      </c>
      <c r="E127" s="86">
        <v>0</v>
      </c>
      <c r="F127" s="86">
        <v>0</v>
      </c>
      <c r="G127" s="86">
        <v>0</v>
      </c>
      <c r="H127" s="86">
        <v>0</v>
      </c>
      <c r="I127" s="86">
        <v>0</v>
      </c>
      <c r="J127" s="86">
        <v>0</v>
      </c>
      <c r="K127" s="86">
        <v>0</v>
      </c>
    </row>
    <row r="128" spans="1:12" x14ac:dyDescent="0.45">
      <c r="A128" s="90" t="s">
        <v>45</v>
      </c>
      <c r="B128" s="86">
        <v>0</v>
      </c>
      <c r="C128" s="86">
        <v>0</v>
      </c>
      <c r="D128" s="86">
        <v>0</v>
      </c>
      <c r="E128" s="86">
        <v>0</v>
      </c>
      <c r="F128" s="86">
        <v>0</v>
      </c>
      <c r="G128" s="86">
        <v>0</v>
      </c>
      <c r="H128" s="86">
        <v>0</v>
      </c>
      <c r="I128" s="86">
        <v>1</v>
      </c>
      <c r="J128" s="86">
        <v>0</v>
      </c>
      <c r="K128" s="86">
        <v>1</v>
      </c>
    </row>
    <row r="129" spans="1:14" x14ac:dyDescent="0.45">
      <c r="A129" s="90" t="s">
        <v>41</v>
      </c>
      <c r="B129" s="86">
        <v>0</v>
      </c>
      <c r="C129" s="86">
        <v>2</v>
      </c>
      <c r="D129" s="86">
        <v>3</v>
      </c>
      <c r="E129" s="86">
        <v>9</v>
      </c>
      <c r="F129" s="86">
        <v>75</v>
      </c>
      <c r="G129" s="86">
        <v>1</v>
      </c>
      <c r="H129" s="86">
        <v>4</v>
      </c>
      <c r="I129" s="86">
        <v>0</v>
      </c>
      <c r="J129" s="86">
        <v>1</v>
      </c>
      <c r="K129" s="86">
        <v>95</v>
      </c>
    </row>
    <row r="130" spans="1:14" x14ac:dyDescent="0.45">
      <c r="A130" s="90" t="s">
        <v>2</v>
      </c>
      <c r="B130" s="86">
        <v>0</v>
      </c>
      <c r="C130" s="86">
        <v>0</v>
      </c>
      <c r="D130" s="86">
        <v>66</v>
      </c>
      <c r="E130" s="86">
        <v>27</v>
      </c>
      <c r="F130" s="86">
        <v>240</v>
      </c>
      <c r="G130" s="86">
        <v>11</v>
      </c>
      <c r="H130" s="86">
        <v>6</v>
      </c>
      <c r="I130" s="86">
        <v>3</v>
      </c>
      <c r="J130" s="86">
        <v>1</v>
      </c>
      <c r="K130" s="86">
        <v>354</v>
      </c>
    </row>
    <row r="131" spans="1:14" x14ac:dyDescent="0.45">
      <c r="A131" s="90" t="s">
        <v>43</v>
      </c>
      <c r="B131" s="86">
        <v>0</v>
      </c>
      <c r="C131" s="86">
        <v>0</v>
      </c>
      <c r="D131" s="86">
        <v>0</v>
      </c>
      <c r="E131" s="86">
        <v>0</v>
      </c>
      <c r="F131" s="86">
        <v>4</v>
      </c>
      <c r="G131" s="86">
        <v>2</v>
      </c>
      <c r="H131" s="86">
        <v>1</v>
      </c>
      <c r="I131" s="86">
        <v>1</v>
      </c>
      <c r="J131" s="86">
        <v>0</v>
      </c>
      <c r="K131" s="86">
        <v>8</v>
      </c>
    </row>
    <row r="132" spans="1:14" x14ac:dyDescent="0.45">
      <c r="A132" s="90" t="s">
        <v>3</v>
      </c>
      <c r="B132" s="86">
        <v>0</v>
      </c>
      <c r="C132" s="86">
        <v>3</v>
      </c>
      <c r="D132" s="86">
        <v>27</v>
      </c>
      <c r="E132" s="86">
        <v>17</v>
      </c>
      <c r="F132" s="86">
        <v>5</v>
      </c>
      <c r="G132" s="86">
        <v>6</v>
      </c>
      <c r="H132" s="86">
        <v>2</v>
      </c>
      <c r="I132" s="86">
        <v>3</v>
      </c>
      <c r="J132" s="86">
        <v>5</v>
      </c>
      <c r="K132" s="86">
        <v>68</v>
      </c>
    </row>
    <row r="133" spans="1:14" x14ac:dyDescent="0.45">
      <c r="A133" s="90" t="s">
        <v>4</v>
      </c>
      <c r="B133" s="86">
        <v>0</v>
      </c>
      <c r="C133" s="86">
        <v>12</v>
      </c>
      <c r="D133" s="86">
        <v>1</v>
      </c>
      <c r="E133" s="86">
        <v>2</v>
      </c>
      <c r="F133" s="86">
        <v>0</v>
      </c>
      <c r="G133" s="86">
        <v>0</v>
      </c>
      <c r="H133" s="86">
        <v>0</v>
      </c>
      <c r="I133" s="86">
        <v>0</v>
      </c>
      <c r="J133" s="86">
        <v>0</v>
      </c>
      <c r="K133" s="86">
        <v>15</v>
      </c>
      <c r="N133" s="2"/>
    </row>
    <row r="134" spans="1:14" x14ac:dyDescent="0.45">
      <c r="A134" s="90" t="s">
        <v>48</v>
      </c>
      <c r="B134" s="86">
        <v>0</v>
      </c>
      <c r="C134" s="86">
        <v>0</v>
      </c>
      <c r="D134" s="86">
        <v>0</v>
      </c>
      <c r="E134" s="86">
        <v>0</v>
      </c>
      <c r="F134" s="86">
        <v>0</v>
      </c>
      <c r="G134" s="86">
        <v>0</v>
      </c>
      <c r="H134" s="86">
        <v>1</v>
      </c>
      <c r="I134" s="86">
        <v>1</v>
      </c>
      <c r="J134" s="86">
        <v>0</v>
      </c>
      <c r="K134" s="86">
        <v>2</v>
      </c>
      <c r="M134" s="86"/>
      <c r="N134" s="2"/>
    </row>
    <row r="135" spans="1:14" x14ac:dyDescent="0.45">
      <c r="A135" s="90" t="s">
        <v>6</v>
      </c>
      <c r="B135" s="86">
        <v>0</v>
      </c>
      <c r="C135" s="86">
        <v>0</v>
      </c>
      <c r="D135" s="86">
        <v>0</v>
      </c>
      <c r="E135" s="86">
        <v>0</v>
      </c>
      <c r="F135" s="86">
        <v>0</v>
      </c>
      <c r="G135" s="86">
        <v>0</v>
      </c>
      <c r="H135" s="86">
        <v>0</v>
      </c>
      <c r="I135" s="86">
        <v>0</v>
      </c>
      <c r="J135" s="86">
        <v>1</v>
      </c>
      <c r="K135" s="86">
        <v>1</v>
      </c>
      <c r="M135" s="86"/>
      <c r="N135" s="2"/>
    </row>
    <row r="136" spans="1:14" x14ac:dyDescent="0.45">
      <c r="A136" s="90" t="s">
        <v>7</v>
      </c>
      <c r="B136" s="86">
        <v>0</v>
      </c>
      <c r="C136" s="86">
        <v>0</v>
      </c>
      <c r="D136" s="86">
        <v>0</v>
      </c>
      <c r="E136" s="86">
        <v>0</v>
      </c>
      <c r="F136" s="86">
        <v>2</v>
      </c>
      <c r="G136" s="86">
        <v>1</v>
      </c>
      <c r="H136" s="86">
        <v>8</v>
      </c>
      <c r="I136" s="86">
        <v>8</v>
      </c>
      <c r="J136" s="86">
        <v>9</v>
      </c>
      <c r="K136" s="86">
        <v>28</v>
      </c>
      <c r="M136" s="86"/>
      <c r="N136" s="2"/>
    </row>
    <row r="137" spans="1:14" x14ac:dyDescent="0.45">
      <c r="A137" s="90" t="s">
        <v>50</v>
      </c>
      <c r="B137" s="86">
        <v>0</v>
      </c>
      <c r="C137" s="86">
        <v>0</v>
      </c>
      <c r="D137" s="86">
        <v>0</v>
      </c>
      <c r="E137" s="86">
        <v>0</v>
      </c>
      <c r="F137" s="86">
        <v>1</v>
      </c>
      <c r="G137" s="86">
        <v>1</v>
      </c>
      <c r="H137" s="86">
        <v>2</v>
      </c>
      <c r="I137" s="86">
        <v>0</v>
      </c>
      <c r="J137" s="86">
        <v>0</v>
      </c>
      <c r="K137" s="86">
        <v>4</v>
      </c>
      <c r="M137" s="86"/>
      <c r="N137" s="2"/>
    </row>
    <row r="138" spans="1:14" x14ac:dyDescent="0.45">
      <c r="A138" s="90" t="s">
        <v>51</v>
      </c>
      <c r="B138" s="86">
        <v>0</v>
      </c>
      <c r="C138" s="86">
        <v>0</v>
      </c>
      <c r="D138" s="86">
        <v>0</v>
      </c>
      <c r="E138" s="86">
        <v>0</v>
      </c>
      <c r="F138" s="86">
        <v>0</v>
      </c>
      <c r="G138" s="86">
        <v>0</v>
      </c>
      <c r="H138" s="86">
        <v>0</v>
      </c>
      <c r="I138" s="86">
        <v>0</v>
      </c>
      <c r="J138" s="86">
        <v>0</v>
      </c>
      <c r="K138" s="86">
        <v>0</v>
      </c>
      <c r="M138" s="86"/>
      <c r="N138" s="2"/>
    </row>
    <row r="139" spans="1:14" x14ac:dyDescent="0.45">
      <c r="A139" s="90" t="s">
        <v>42</v>
      </c>
      <c r="B139" s="86">
        <v>0</v>
      </c>
      <c r="C139" s="86">
        <v>0</v>
      </c>
      <c r="D139" s="86">
        <v>0</v>
      </c>
      <c r="E139" s="86">
        <v>0</v>
      </c>
      <c r="F139" s="86">
        <v>7</v>
      </c>
      <c r="G139" s="86">
        <v>0</v>
      </c>
      <c r="H139" s="86">
        <v>0</v>
      </c>
      <c r="I139" s="86">
        <v>0</v>
      </c>
      <c r="J139" s="86">
        <v>0</v>
      </c>
      <c r="K139" s="86">
        <v>7</v>
      </c>
      <c r="M139" s="86"/>
      <c r="N139" s="2"/>
    </row>
    <row r="140" spans="1:14" x14ac:dyDescent="0.45">
      <c r="A140" s="90" t="s">
        <v>8</v>
      </c>
      <c r="B140" s="86">
        <v>0</v>
      </c>
      <c r="C140" s="86">
        <v>0</v>
      </c>
      <c r="D140" s="86">
        <v>0</v>
      </c>
      <c r="E140" s="86">
        <v>0</v>
      </c>
      <c r="F140" s="86">
        <v>0</v>
      </c>
      <c r="G140" s="86">
        <v>0</v>
      </c>
      <c r="H140" s="86">
        <v>5</v>
      </c>
      <c r="I140" s="86">
        <v>3</v>
      </c>
      <c r="J140" s="86">
        <v>10</v>
      </c>
      <c r="K140" s="86">
        <v>18</v>
      </c>
      <c r="M140" s="86"/>
      <c r="N140" s="2"/>
    </row>
    <row r="141" spans="1:14" x14ac:dyDescent="0.45">
      <c r="A141" s="90" t="s">
        <v>9</v>
      </c>
      <c r="B141" s="86">
        <v>0</v>
      </c>
      <c r="C141" s="86">
        <v>0</v>
      </c>
      <c r="D141" s="86">
        <v>0</v>
      </c>
      <c r="E141" s="86">
        <v>123</v>
      </c>
      <c r="F141" s="86">
        <v>500</v>
      </c>
      <c r="G141" s="86">
        <v>2001</v>
      </c>
      <c r="H141" s="86">
        <v>256</v>
      </c>
      <c r="I141" s="86">
        <v>0</v>
      </c>
      <c r="J141" s="86">
        <v>39</v>
      </c>
      <c r="K141" s="86">
        <v>2919</v>
      </c>
      <c r="M141" s="86"/>
      <c r="N141" s="2"/>
    </row>
    <row r="142" spans="1:14" x14ac:dyDescent="0.45">
      <c r="A142" s="90" t="s">
        <v>44</v>
      </c>
      <c r="B142" s="86">
        <v>0</v>
      </c>
      <c r="C142" s="86">
        <v>0</v>
      </c>
      <c r="D142" s="86">
        <v>0</v>
      </c>
      <c r="E142" s="86">
        <v>0</v>
      </c>
      <c r="F142" s="86">
        <v>0</v>
      </c>
      <c r="G142" s="86">
        <v>0</v>
      </c>
      <c r="H142" s="86">
        <v>1</v>
      </c>
      <c r="I142" s="86">
        <v>0</v>
      </c>
      <c r="J142" s="86">
        <v>1</v>
      </c>
      <c r="K142" s="86">
        <v>2</v>
      </c>
      <c r="M142" s="86"/>
      <c r="N142" s="2"/>
    </row>
    <row r="143" spans="1:14" x14ac:dyDescent="0.45">
      <c r="A143" s="90" t="s">
        <v>10</v>
      </c>
      <c r="B143" s="86">
        <v>0</v>
      </c>
      <c r="C143" s="86">
        <v>0</v>
      </c>
      <c r="D143" s="86">
        <v>0</v>
      </c>
      <c r="E143" s="86">
        <v>3</v>
      </c>
      <c r="F143" s="86">
        <v>12</v>
      </c>
      <c r="G143" s="86">
        <v>1</v>
      </c>
      <c r="H143" s="86">
        <v>54</v>
      </c>
      <c r="I143" s="86">
        <v>0</v>
      </c>
      <c r="J143" s="86">
        <v>1</v>
      </c>
      <c r="K143" s="86">
        <v>71</v>
      </c>
      <c r="M143" s="86"/>
      <c r="N143" s="2"/>
    </row>
    <row r="144" spans="1:14" x14ac:dyDescent="0.45">
      <c r="A144" s="90" t="s">
        <v>11</v>
      </c>
      <c r="B144" s="86">
        <v>0</v>
      </c>
      <c r="C144" s="86">
        <v>0</v>
      </c>
      <c r="D144" s="86">
        <v>0</v>
      </c>
      <c r="E144" s="86">
        <v>114</v>
      </c>
      <c r="F144" s="86">
        <v>3115</v>
      </c>
      <c r="G144" s="86">
        <v>6623</v>
      </c>
      <c r="H144" s="86">
        <v>6028</v>
      </c>
      <c r="I144" s="86">
        <v>477</v>
      </c>
      <c r="J144" s="86">
        <v>18</v>
      </c>
      <c r="K144" s="86">
        <v>16375</v>
      </c>
      <c r="M144" s="86"/>
      <c r="N144" s="2"/>
    </row>
    <row r="145" spans="1:14" x14ac:dyDescent="0.45">
      <c r="A145" s="90" t="s">
        <v>12</v>
      </c>
      <c r="B145" s="86">
        <v>0</v>
      </c>
      <c r="C145" s="86">
        <v>0</v>
      </c>
      <c r="D145" s="86">
        <v>2</v>
      </c>
      <c r="E145" s="86">
        <v>9</v>
      </c>
      <c r="F145" s="86">
        <v>9</v>
      </c>
      <c r="G145" s="86">
        <v>50</v>
      </c>
      <c r="H145" s="86">
        <v>30</v>
      </c>
      <c r="I145" s="86">
        <v>2</v>
      </c>
      <c r="J145" s="86">
        <v>1</v>
      </c>
      <c r="K145" s="86">
        <v>103</v>
      </c>
      <c r="M145" s="86"/>
      <c r="N145" s="2"/>
    </row>
    <row r="146" spans="1:14" x14ac:dyDescent="0.45">
      <c r="A146" s="90" t="s">
        <v>32</v>
      </c>
      <c r="B146" s="86">
        <v>0</v>
      </c>
      <c r="C146" s="86">
        <v>0</v>
      </c>
      <c r="D146" s="86">
        <v>0</v>
      </c>
      <c r="E146" s="86">
        <v>0</v>
      </c>
      <c r="F146" s="86">
        <v>0</v>
      </c>
      <c r="G146" s="86">
        <v>0</v>
      </c>
      <c r="H146" s="86">
        <v>25</v>
      </c>
      <c r="I146" s="86">
        <v>8</v>
      </c>
      <c r="J146" s="86">
        <v>1</v>
      </c>
      <c r="K146" s="86">
        <v>34</v>
      </c>
      <c r="M146" s="86"/>
      <c r="N146" s="2"/>
    </row>
    <row r="147" spans="1:14" x14ac:dyDescent="0.45">
      <c r="A147" s="90" t="s">
        <v>18</v>
      </c>
      <c r="B147" s="86">
        <v>0</v>
      </c>
      <c r="C147" s="86">
        <v>0</v>
      </c>
      <c r="D147" s="86">
        <v>0</v>
      </c>
      <c r="E147" s="86">
        <v>18</v>
      </c>
      <c r="F147" s="86">
        <v>66</v>
      </c>
      <c r="G147" s="86">
        <v>715</v>
      </c>
      <c r="H147" s="86">
        <v>45</v>
      </c>
      <c r="I147" s="86">
        <v>0</v>
      </c>
      <c r="J147" s="86">
        <v>0</v>
      </c>
      <c r="K147" s="86">
        <v>844</v>
      </c>
      <c r="M147" s="86"/>
      <c r="N147" s="2"/>
    </row>
    <row r="148" spans="1:14" x14ac:dyDescent="0.45">
      <c r="A148" s="90" t="s">
        <v>46</v>
      </c>
      <c r="B148" s="86">
        <v>0</v>
      </c>
      <c r="C148" s="86">
        <v>0</v>
      </c>
      <c r="D148" s="86">
        <v>0</v>
      </c>
      <c r="E148" s="86">
        <v>1</v>
      </c>
      <c r="F148" s="86">
        <v>0</v>
      </c>
      <c r="G148" s="86">
        <v>0</v>
      </c>
      <c r="H148" s="86">
        <v>0</v>
      </c>
      <c r="I148" s="86">
        <v>7</v>
      </c>
      <c r="J148" s="86">
        <v>0</v>
      </c>
      <c r="K148" s="86">
        <v>8</v>
      </c>
      <c r="M148" s="86"/>
      <c r="N148" s="2"/>
    </row>
    <row r="149" spans="1:14" x14ac:dyDescent="0.45">
      <c r="A149" s="90" t="s">
        <v>13</v>
      </c>
      <c r="B149" s="86">
        <v>0</v>
      </c>
      <c r="C149" s="86">
        <v>0</v>
      </c>
      <c r="D149" s="86">
        <v>0</v>
      </c>
      <c r="E149" s="86">
        <v>0</v>
      </c>
      <c r="F149" s="86">
        <v>0</v>
      </c>
      <c r="G149" s="86">
        <v>0</v>
      </c>
      <c r="H149" s="86">
        <v>1</v>
      </c>
      <c r="I149" s="86">
        <v>0</v>
      </c>
      <c r="J149" s="86">
        <v>0</v>
      </c>
      <c r="K149" s="86">
        <v>1</v>
      </c>
      <c r="M149" s="86"/>
      <c r="N149" s="2"/>
    </row>
    <row r="150" spans="1:14" x14ac:dyDescent="0.45">
      <c r="A150" s="90" t="s">
        <v>14</v>
      </c>
      <c r="B150" s="86">
        <v>0</v>
      </c>
      <c r="C150" s="86">
        <v>0</v>
      </c>
      <c r="D150" s="86">
        <v>5</v>
      </c>
      <c r="E150" s="86">
        <v>28</v>
      </c>
      <c r="F150" s="86">
        <v>257</v>
      </c>
      <c r="G150" s="86">
        <v>654</v>
      </c>
      <c r="H150" s="86">
        <v>193</v>
      </c>
      <c r="I150" s="86">
        <v>43</v>
      </c>
      <c r="J150" s="86">
        <v>25</v>
      </c>
      <c r="K150" s="86">
        <v>1205</v>
      </c>
      <c r="M150" s="86"/>
      <c r="N150" s="2"/>
    </row>
    <row r="151" spans="1:14" x14ac:dyDescent="0.45">
      <c r="A151" s="90" t="s">
        <v>40</v>
      </c>
      <c r="B151" s="86">
        <v>2</v>
      </c>
      <c r="C151" s="86">
        <v>0</v>
      </c>
      <c r="D151" s="86">
        <v>0</v>
      </c>
      <c r="E151" s="86">
        <v>0</v>
      </c>
      <c r="F151" s="86">
        <v>1</v>
      </c>
      <c r="G151" s="86">
        <v>0</v>
      </c>
      <c r="H151" s="86">
        <v>3</v>
      </c>
      <c r="I151" s="86">
        <v>0</v>
      </c>
      <c r="J151" s="86">
        <v>0</v>
      </c>
      <c r="K151" s="86">
        <v>6</v>
      </c>
      <c r="M151" s="86"/>
      <c r="N151" s="2"/>
    </row>
    <row r="152" spans="1:14" x14ac:dyDescent="0.45">
      <c r="A152" s="90" t="s">
        <v>52</v>
      </c>
      <c r="B152" s="86">
        <v>0</v>
      </c>
      <c r="C152" s="86">
        <v>0</v>
      </c>
      <c r="D152" s="86">
        <v>0</v>
      </c>
      <c r="E152" s="86">
        <v>0</v>
      </c>
      <c r="F152" s="86">
        <v>0</v>
      </c>
      <c r="G152" s="86">
        <v>0</v>
      </c>
      <c r="H152" s="86">
        <v>0</v>
      </c>
      <c r="I152" s="86">
        <v>6</v>
      </c>
      <c r="J152" s="86">
        <v>0</v>
      </c>
      <c r="K152" s="86">
        <v>6</v>
      </c>
      <c r="M152" s="86"/>
      <c r="N152" s="2"/>
    </row>
    <row r="153" spans="1:14" x14ac:dyDescent="0.45">
      <c r="A153" s="90" t="s">
        <v>53</v>
      </c>
      <c r="B153" s="86">
        <v>0</v>
      </c>
      <c r="C153" s="86">
        <v>0</v>
      </c>
      <c r="D153" s="86">
        <v>0</v>
      </c>
      <c r="E153" s="86">
        <v>0</v>
      </c>
      <c r="F153" s="86">
        <v>0</v>
      </c>
      <c r="G153" s="86">
        <v>0</v>
      </c>
      <c r="H153" s="86">
        <v>0</v>
      </c>
      <c r="I153" s="86">
        <v>0</v>
      </c>
      <c r="J153" s="86">
        <v>0</v>
      </c>
      <c r="K153" s="86">
        <v>0</v>
      </c>
      <c r="M153" s="86"/>
      <c r="N153" s="2"/>
    </row>
    <row r="154" spans="1:14" x14ac:dyDescent="0.45">
      <c r="A154" s="90" t="s">
        <v>15</v>
      </c>
      <c r="B154" s="86">
        <v>0</v>
      </c>
      <c r="C154" s="86">
        <v>0</v>
      </c>
      <c r="D154" s="86">
        <v>0</v>
      </c>
      <c r="E154" s="86">
        <v>1</v>
      </c>
      <c r="F154" s="86">
        <v>60</v>
      </c>
      <c r="G154" s="86">
        <v>2</v>
      </c>
      <c r="H154" s="86">
        <v>11</v>
      </c>
      <c r="I154" s="86">
        <v>2</v>
      </c>
      <c r="J154" s="86">
        <v>0</v>
      </c>
      <c r="K154" s="86">
        <v>76</v>
      </c>
      <c r="M154" s="86"/>
      <c r="N154" s="2"/>
    </row>
    <row r="155" spans="1:14" x14ac:dyDescent="0.45">
      <c r="A155" s="90" t="s">
        <v>54</v>
      </c>
      <c r="B155" s="86">
        <v>0</v>
      </c>
      <c r="C155" s="86">
        <v>0</v>
      </c>
      <c r="D155" s="86">
        <v>0</v>
      </c>
      <c r="E155" s="86">
        <v>0</v>
      </c>
      <c r="F155" s="86">
        <v>1</v>
      </c>
      <c r="G155" s="86">
        <v>0</v>
      </c>
      <c r="H155" s="86">
        <v>0</v>
      </c>
      <c r="I155" s="86">
        <v>0</v>
      </c>
      <c r="J155" s="86">
        <v>0</v>
      </c>
      <c r="K155" s="86">
        <v>1</v>
      </c>
      <c r="M155" s="86"/>
      <c r="N155" s="2"/>
    </row>
    <row r="156" spans="1:14" x14ac:dyDescent="0.45">
      <c r="A156" s="90" t="s">
        <v>47</v>
      </c>
      <c r="B156" s="86">
        <v>0</v>
      </c>
      <c r="C156" s="86">
        <v>0</v>
      </c>
      <c r="D156" s="86">
        <v>0</v>
      </c>
      <c r="E156" s="86">
        <v>0</v>
      </c>
      <c r="F156" s="86">
        <v>19</v>
      </c>
      <c r="G156" s="86">
        <v>21</v>
      </c>
      <c r="H156" s="86">
        <v>21</v>
      </c>
      <c r="I156" s="86">
        <v>14</v>
      </c>
      <c r="J156" s="86">
        <v>1</v>
      </c>
      <c r="K156" s="86">
        <v>76</v>
      </c>
      <c r="M156" s="86"/>
      <c r="N156" s="2"/>
    </row>
    <row r="157" spans="1:14" x14ac:dyDescent="0.45">
      <c r="A157" s="90" t="s">
        <v>16</v>
      </c>
      <c r="B157" s="86">
        <v>0</v>
      </c>
      <c r="C157" s="86">
        <v>0</v>
      </c>
      <c r="D157" s="86">
        <v>0</v>
      </c>
      <c r="E157" s="86">
        <v>0</v>
      </c>
      <c r="F157" s="86">
        <v>0</v>
      </c>
      <c r="G157" s="86">
        <v>0</v>
      </c>
      <c r="H157" s="86">
        <v>0</v>
      </c>
      <c r="I157" s="86">
        <v>0</v>
      </c>
      <c r="J157" s="86">
        <v>1</v>
      </c>
      <c r="K157" s="86">
        <v>1</v>
      </c>
      <c r="M157" s="86"/>
      <c r="N157" s="2"/>
    </row>
    <row r="158" spans="1:14" x14ac:dyDescent="0.45">
      <c r="A158" s="34" t="s">
        <v>17</v>
      </c>
      <c r="B158" s="86">
        <v>0</v>
      </c>
      <c r="C158" s="86">
        <v>0</v>
      </c>
      <c r="D158" s="86">
        <v>0</v>
      </c>
      <c r="E158" s="86">
        <v>0</v>
      </c>
      <c r="F158" s="86">
        <v>500</v>
      </c>
      <c r="G158" s="86">
        <v>500</v>
      </c>
      <c r="H158" s="86">
        <v>500</v>
      </c>
      <c r="I158" s="86">
        <v>1</v>
      </c>
      <c r="J158" s="86">
        <v>0</v>
      </c>
      <c r="K158" s="86">
        <v>1501</v>
      </c>
      <c r="M158" s="86"/>
      <c r="N158" s="2"/>
    </row>
    <row r="159" spans="1:14" x14ac:dyDescent="0.45">
      <c r="A159" s="93" t="s">
        <v>24</v>
      </c>
      <c r="B159" s="115">
        <v>2</v>
      </c>
      <c r="C159" s="116">
        <v>17</v>
      </c>
      <c r="D159" s="116">
        <v>104</v>
      </c>
      <c r="E159" s="116">
        <v>356</v>
      </c>
      <c r="F159" s="116">
        <v>4881</v>
      </c>
      <c r="G159" s="116">
        <v>10619</v>
      </c>
      <c r="H159" s="116">
        <v>7248</v>
      </c>
      <c r="I159" s="116">
        <v>609</v>
      </c>
      <c r="J159" s="116">
        <v>136</v>
      </c>
      <c r="K159" s="116">
        <v>23972</v>
      </c>
      <c r="M159" s="86"/>
      <c r="N159" s="2"/>
    </row>
    <row r="160" spans="1:14" x14ac:dyDescent="0.45">
      <c r="M160" s="86"/>
      <c r="N160" s="21"/>
    </row>
    <row r="161" spans="1:14" x14ac:dyDescent="0.45">
      <c r="M161" s="86"/>
      <c r="N161" s="2"/>
    </row>
    <row r="162" spans="1:14" x14ac:dyDescent="0.45">
      <c r="M162" s="86"/>
    </row>
    <row r="163" spans="1:14" x14ac:dyDescent="0.45">
      <c r="A163" s="94" t="s">
        <v>154</v>
      </c>
      <c r="B163" s="1" t="s">
        <v>20</v>
      </c>
      <c r="C163" s="1"/>
      <c r="D163" s="1"/>
      <c r="E163" s="1"/>
      <c r="F163" s="1" t="s">
        <v>21</v>
      </c>
      <c r="G163" s="1"/>
      <c r="H163" s="1"/>
      <c r="I163" s="1"/>
      <c r="J163" s="1"/>
      <c r="K163" s="1"/>
      <c r="M163" s="86"/>
    </row>
    <row r="164" spans="1:14" x14ac:dyDescent="0.45">
      <c r="A164" s="108" t="s">
        <v>19</v>
      </c>
      <c r="B164" s="120">
        <v>13</v>
      </c>
      <c r="C164" s="107">
        <v>18</v>
      </c>
      <c r="D164" s="107">
        <v>23</v>
      </c>
      <c r="E164" s="107">
        <v>28</v>
      </c>
      <c r="F164" s="107">
        <v>3</v>
      </c>
      <c r="G164" s="107">
        <v>8</v>
      </c>
      <c r="H164" s="107">
        <v>13</v>
      </c>
      <c r="I164" s="107">
        <v>18</v>
      </c>
      <c r="J164" s="107">
        <v>23</v>
      </c>
      <c r="K164" s="118" t="s">
        <v>24</v>
      </c>
      <c r="M164" s="86"/>
    </row>
    <row r="165" spans="1:14" x14ac:dyDescent="0.45">
      <c r="A165" s="114" t="s">
        <v>1</v>
      </c>
      <c r="B165" s="86">
        <v>0</v>
      </c>
      <c r="C165" s="86">
        <v>0</v>
      </c>
      <c r="D165" s="86">
        <v>0</v>
      </c>
      <c r="E165" s="86">
        <v>0</v>
      </c>
      <c r="F165" s="86">
        <v>0</v>
      </c>
      <c r="G165" s="86">
        <v>14</v>
      </c>
      <c r="H165" s="86">
        <v>36</v>
      </c>
      <c r="I165" s="86">
        <v>14</v>
      </c>
      <c r="J165" s="86">
        <v>28</v>
      </c>
      <c r="K165" s="86">
        <v>92</v>
      </c>
      <c r="N165" s="17"/>
    </row>
    <row r="166" spans="1:14" x14ac:dyDescent="0.45">
      <c r="A166" s="90" t="s">
        <v>49</v>
      </c>
      <c r="B166" s="86">
        <v>0</v>
      </c>
      <c r="C166" s="86">
        <v>0</v>
      </c>
      <c r="D166" s="86">
        <v>0</v>
      </c>
      <c r="E166" s="86">
        <v>0</v>
      </c>
      <c r="F166" s="86">
        <v>0</v>
      </c>
      <c r="G166" s="86">
        <v>0</v>
      </c>
      <c r="H166" s="86">
        <v>0</v>
      </c>
      <c r="I166" s="86">
        <v>0</v>
      </c>
      <c r="J166" s="86">
        <v>0</v>
      </c>
      <c r="K166" s="86">
        <v>0</v>
      </c>
    </row>
    <row r="167" spans="1:14" x14ac:dyDescent="0.45">
      <c r="A167" s="90" t="s">
        <v>45</v>
      </c>
      <c r="B167" s="86">
        <v>0</v>
      </c>
      <c r="C167" s="86">
        <v>0</v>
      </c>
      <c r="D167" s="86">
        <v>0</v>
      </c>
      <c r="E167" s="86">
        <v>0</v>
      </c>
      <c r="F167" s="86">
        <v>0</v>
      </c>
      <c r="G167" s="86">
        <v>0</v>
      </c>
      <c r="H167" s="86">
        <v>0</v>
      </c>
      <c r="I167" s="86">
        <v>10</v>
      </c>
      <c r="J167" s="86">
        <v>0</v>
      </c>
      <c r="K167" s="86">
        <v>10</v>
      </c>
    </row>
    <row r="168" spans="1:14" x14ac:dyDescent="0.45">
      <c r="A168" s="90" t="s">
        <v>41</v>
      </c>
      <c r="B168" s="86">
        <v>0</v>
      </c>
      <c r="C168" s="86">
        <v>0</v>
      </c>
      <c r="D168" s="86">
        <v>3</v>
      </c>
      <c r="E168" s="86">
        <v>2</v>
      </c>
      <c r="F168" s="86">
        <v>14</v>
      </c>
      <c r="G168" s="86">
        <v>38</v>
      </c>
      <c r="H168" s="86">
        <v>25</v>
      </c>
      <c r="I168" s="86">
        <v>14</v>
      </c>
      <c r="J168" s="86">
        <v>0</v>
      </c>
      <c r="K168" s="86">
        <v>96</v>
      </c>
    </row>
    <row r="169" spans="1:14" x14ac:dyDescent="0.45">
      <c r="A169" s="90" t="s">
        <v>2</v>
      </c>
      <c r="B169" s="86">
        <v>0</v>
      </c>
      <c r="C169" s="86">
        <v>0</v>
      </c>
      <c r="D169" s="86">
        <v>16</v>
      </c>
      <c r="E169" s="86">
        <v>21</v>
      </c>
      <c r="F169" s="86">
        <v>52</v>
      </c>
      <c r="G169" s="86">
        <v>95</v>
      </c>
      <c r="H169" s="86">
        <v>4</v>
      </c>
      <c r="I169" s="86">
        <v>15</v>
      </c>
      <c r="J169" s="86">
        <v>18</v>
      </c>
      <c r="K169" s="86">
        <v>221</v>
      </c>
    </row>
    <row r="170" spans="1:14" x14ac:dyDescent="0.45">
      <c r="A170" s="90" t="s">
        <v>43</v>
      </c>
      <c r="B170" s="86">
        <v>0</v>
      </c>
      <c r="C170" s="86">
        <v>0</v>
      </c>
      <c r="D170" s="86">
        <v>0</v>
      </c>
      <c r="E170" s="86">
        <v>0</v>
      </c>
      <c r="F170" s="86">
        <v>0</v>
      </c>
      <c r="G170" s="86">
        <v>0</v>
      </c>
      <c r="H170" s="86">
        <v>2</v>
      </c>
      <c r="I170" s="86">
        <v>0</v>
      </c>
      <c r="J170" s="86">
        <v>0</v>
      </c>
      <c r="K170" s="86">
        <v>2</v>
      </c>
    </row>
    <row r="171" spans="1:14" x14ac:dyDescent="0.45">
      <c r="A171" s="90" t="s">
        <v>3</v>
      </c>
      <c r="B171" s="86">
        <v>1</v>
      </c>
      <c r="C171" s="86">
        <v>11</v>
      </c>
      <c r="D171" s="86">
        <v>24</v>
      </c>
      <c r="E171" s="86">
        <v>27</v>
      </c>
      <c r="F171" s="86">
        <v>8</v>
      </c>
      <c r="G171" s="86">
        <v>8</v>
      </c>
      <c r="H171" s="86">
        <v>2</v>
      </c>
      <c r="I171" s="86">
        <v>3</v>
      </c>
      <c r="J171" s="86">
        <v>6</v>
      </c>
      <c r="K171" s="86">
        <v>90</v>
      </c>
    </row>
    <row r="172" spans="1:14" x14ac:dyDescent="0.45">
      <c r="A172" s="90" t="s">
        <v>4</v>
      </c>
      <c r="B172" s="86">
        <v>0</v>
      </c>
      <c r="C172" s="86">
        <v>0</v>
      </c>
      <c r="D172" s="86">
        <v>0</v>
      </c>
      <c r="E172" s="86">
        <v>2</v>
      </c>
      <c r="F172" s="86">
        <v>1</v>
      </c>
      <c r="G172" s="86">
        <v>1</v>
      </c>
      <c r="H172" s="86">
        <v>2</v>
      </c>
      <c r="I172" s="86">
        <v>3</v>
      </c>
      <c r="J172" s="86">
        <v>0</v>
      </c>
      <c r="K172" s="86">
        <v>9</v>
      </c>
    </row>
    <row r="173" spans="1:14" x14ac:dyDescent="0.45">
      <c r="A173" s="90" t="s">
        <v>48</v>
      </c>
      <c r="B173" s="86">
        <v>0</v>
      </c>
      <c r="C173" s="86">
        <v>0</v>
      </c>
      <c r="D173" s="86">
        <v>0</v>
      </c>
      <c r="E173" s="86">
        <v>2</v>
      </c>
      <c r="F173" s="86">
        <v>0</v>
      </c>
      <c r="G173" s="86">
        <v>0</v>
      </c>
      <c r="H173" s="86">
        <v>0</v>
      </c>
      <c r="I173" s="86">
        <v>0</v>
      </c>
      <c r="J173" s="86">
        <v>0</v>
      </c>
      <c r="K173" s="86">
        <v>2</v>
      </c>
    </row>
    <row r="174" spans="1:14" x14ac:dyDescent="0.45">
      <c r="A174" s="90" t="s">
        <v>6</v>
      </c>
      <c r="B174" s="86">
        <v>0</v>
      </c>
      <c r="C174" s="86">
        <v>0</v>
      </c>
      <c r="D174" s="86">
        <v>0</v>
      </c>
      <c r="E174" s="86">
        <v>0</v>
      </c>
      <c r="F174" s="86">
        <v>0</v>
      </c>
      <c r="G174" s="86">
        <v>0</v>
      </c>
      <c r="H174" s="86">
        <v>0</v>
      </c>
      <c r="I174" s="86">
        <v>0</v>
      </c>
      <c r="J174" s="86">
        <v>0</v>
      </c>
      <c r="K174" s="86">
        <v>0</v>
      </c>
    </row>
    <row r="175" spans="1:14" x14ac:dyDescent="0.45">
      <c r="A175" s="90" t="s">
        <v>7</v>
      </c>
      <c r="B175" s="86">
        <v>0</v>
      </c>
      <c r="C175" s="86">
        <v>0</v>
      </c>
      <c r="D175" s="86">
        <v>0</v>
      </c>
      <c r="E175" s="86">
        <v>0</v>
      </c>
      <c r="F175" s="86">
        <v>12</v>
      </c>
      <c r="G175" s="86">
        <v>3</v>
      </c>
      <c r="H175" s="86">
        <v>11</v>
      </c>
      <c r="I175" s="86">
        <v>12</v>
      </c>
      <c r="J175" s="86">
        <v>27</v>
      </c>
      <c r="K175" s="86">
        <v>65</v>
      </c>
    </row>
    <row r="176" spans="1:14" x14ac:dyDescent="0.45">
      <c r="A176" s="90" t="s">
        <v>50</v>
      </c>
      <c r="B176" s="86">
        <v>0</v>
      </c>
      <c r="C176" s="86">
        <v>0</v>
      </c>
      <c r="D176" s="86">
        <v>0</v>
      </c>
      <c r="E176" s="86">
        <v>0</v>
      </c>
      <c r="F176" s="86">
        <v>0</v>
      </c>
      <c r="G176" s="86">
        <v>0</v>
      </c>
      <c r="H176" s="86">
        <v>0</v>
      </c>
      <c r="I176" s="86">
        <v>6</v>
      </c>
      <c r="J176" s="86">
        <v>0</v>
      </c>
      <c r="K176" s="86">
        <v>6</v>
      </c>
    </row>
    <row r="177" spans="1:11" x14ac:dyDescent="0.45">
      <c r="A177" s="90" t="s">
        <v>51</v>
      </c>
      <c r="B177" s="86">
        <v>0</v>
      </c>
      <c r="C177" s="86">
        <v>0</v>
      </c>
      <c r="D177" s="86">
        <v>0</v>
      </c>
      <c r="E177" s="86">
        <v>0</v>
      </c>
      <c r="F177" s="86">
        <v>0</v>
      </c>
      <c r="G177" s="86">
        <v>0</v>
      </c>
      <c r="H177" s="86">
        <v>3</v>
      </c>
      <c r="I177" s="86">
        <v>0</v>
      </c>
      <c r="J177" s="86">
        <v>0</v>
      </c>
      <c r="K177" s="86">
        <v>3</v>
      </c>
    </row>
    <row r="178" spans="1:11" x14ac:dyDescent="0.45">
      <c r="A178" s="90" t="s">
        <v>42</v>
      </c>
      <c r="B178" s="86">
        <v>0</v>
      </c>
      <c r="C178" s="86">
        <v>0</v>
      </c>
      <c r="D178" s="86">
        <v>0</v>
      </c>
      <c r="E178" s="86">
        <v>0</v>
      </c>
      <c r="F178" s="86">
        <v>0</v>
      </c>
      <c r="G178" s="86">
        <v>0</v>
      </c>
      <c r="H178" s="86">
        <v>0</v>
      </c>
      <c r="I178" s="86">
        <v>0</v>
      </c>
      <c r="J178" s="86">
        <v>0</v>
      </c>
      <c r="K178" s="86">
        <v>0</v>
      </c>
    </row>
    <row r="179" spans="1:11" x14ac:dyDescent="0.45">
      <c r="A179" s="90" t="s">
        <v>8</v>
      </c>
      <c r="B179" s="86">
        <v>0</v>
      </c>
      <c r="C179" s="86">
        <v>0</v>
      </c>
      <c r="D179" s="86">
        <v>0</v>
      </c>
      <c r="E179" s="86">
        <v>0</v>
      </c>
      <c r="F179" s="86">
        <v>0</v>
      </c>
      <c r="G179" s="86">
        <v>1</v>
      </c>
      <c r="H179" s="86">
        <v>25</v>
      </c>
      <c r="I179" s="86">
        <v>36</v>
      </c>
      <c r="J179" s="86">
        <v>0</v>
      </c>
      <c r="K179" s="86">
        <v>62</v>
      </c>
    </row>
    <row r="180" spans="1:11" x14ac:dyDescent="0.45">
      <c r="A180" s="90" t="s">
        <v>9</v>
      </c>
      <c r="B180" s="86">
        <v>0</v>
      </c>
      <c r="C180" s="86">
        <v>0</v>
      </c>
      <c r="D180" s="86">
        <v>0</v>
      </c>
      <c r="E180" s="86">
        <v>0</v>
      </c>
      <c r="F180" s="86">
        <v>0</v>
      </c>
      <c r="G180" s="86">
        <v>22</v>
      </c>
      <c r="H180" s="86">
        <v>165</v>
      </c>
      <c r="I180" s="86">
        <v>205</v>
      </c>
      <c r="J180" s="86">
        <v>356</v>
      </c>
      <c r="K180" s="86">
        <v>748</v>
      </c>
    </row>
    <row r="181" spans="1:11" x14ac:dyDescent="0.45">
      <c r="A181" s="90" t="s">
        <v>44</v>
      </c>
      <c r="B181" s="86">
        <v>0</v>
      </c>
      <c r="C181" s="86">
        <v>0</v>
      </c>
      <c r="D181" s="86">
        <v>0</v>
      </c>
      <c r="E181" s="86">
        <v>0</v>
      </c>
      <c r="F181" s="86">
        <v>0</v>
      </c>
      <c r="G181" s="86">
        <v>1</v>
      </c>
      <c r="H181" s="86">
        <v>2</v>
      </c>
      <c r="I181" s="86">
        <v>0</v>
      </c>
      <c r="J181" s="86">
        <v>6</v>
      </c>
      <c r="K181" s="86">
        <v>9</v>
      </c>
    </row>
    <row r="182" spans="1:11" x14ac:dyDescent="0.45">
      <c r="A182" s="90" t="s">
        <v>10</v>
      </c>
      <c r="B182" s="86">
        <v>0</v>
      </c>
      <c r="C182" s="86">
        <v>0</v>
      </c>
      <c r="D182" s="86">
        <v>0</v>
      </c>
      <c r="E182" s="86">
        <v>0</v>
      </c>
      <c r="F182" s="86">
        <v>0</v>
      </c>
      <c r="G182" s="86">
        <v>2</v>
      </c>
      <c r="H182" s="86">
        <v>4</v>
      </c>
      <c r="I182" s="86">
        <v>8</v>
      </c>
      <c r="J182" s="86">
        <v>7</v>
      </c>
      <c r="K182" s="86">
        <v>21</v>
      </c>
    </row>
    <row r="183" spans="1:11" x14ac:dyDescent="0.45">
      <c r="A183" s="90" t="s">
        <v>11</v>
      </c>
      <c r="B183" s="86">
        <v>0</v>
      </c>
      <c r="C183" s="86">
        <v>0</v>
      </c>
      <c r="D183" s="86">
        <v>0</v>
      </c>
      <c r="E183" s="86">
        <v>0</v>
      </c>
      <c r="F183" s="86">
        <v>1</v>
      </c>
      <c r="G183" s="86">
        <v>110</v>
      </c>
      <c r="H183" s="86">
        <v>5254</v>
      </c>
      <c r="I183" s="86">
        <v>2529</v>
      </c>
      <c r="J183" s="86">
        <v>70</v>
      </c>
      <c r="K183" s="86">
        <v>7964</v>
      </c>
    </row>
    <row r="184" spans="1:11" x14ac:dyDescent="0.45">
      <c r="A184" s="90" t="s">
        <v>12</v>
      </c>
      <c r="B184" s="86">
        <v>0</v>
      </c>
      <c r="C184" s="86">
        <v>0</v>
      </c>
      <c r="D184" s="86">
        <v>0</v>
      </c>
      <c r="E184" s="86">
        <v>0</v>
      </c>
      <c r="F184" s="86">
        <v>0</v>
      </c>
      <c r="G184" s="86">
        <v>0</v>
      </c>
      <c r="H184" s="86">
        <v>48</v>
      </c>
      <c r="I184" s="86">
        <v>18</v>
      </c>
      <c r="J184" s="86">
        <v>62</v>
      </c>
      <c r="K184" s="86">
        <v>128</v>
      </c>
    </row>
    <row r="185" spans="1:11" x14ac:dyDescent="0.45">
      <c r="A185" s="90" t="s">
        <v>32</v>
      </c>
      <c r="B185" s="86">
        <v>0</v>
      </c>
      <c r="C185" s="86">
        <v>0</v>
      </c>
      <c r="D185" s="86">
        <v>0</v>
      </c>
      <c r="E185" s="86">
        <v>0</v>
      </c>
      <c r="F185" s="86">
        <v>0</v>
      </c>
      <c r="G185" s="86">
        <v>0</v>
      </c>
      <c r="H185" s="86">
        <v>0</v>
      </c>
      <c r="I185" s="86">
        <v>0</v>
      </c>
      <c r="J185" s="86">
        <v>0</v>
      </c>
      <c r="K185" s="86">
        <v>0</v>
      </c>
    </row>
    <row r="186" spans="1:11" x14ac:dyDescent="0.45">
      <c r="A186" s="90" t="s">
        <v>18</v>
      </c>
      <c r="B186" s="86">
        <v>0</v>
      </c>
      <c r="C186" s="86">
        <v>0</v>
      </c>
      <c r="D186" s="86">
        <v>0</v>
      </c>
      <c r="E186" s="86">
        <v>1</v>
      </c>
      <c r="F186" s="86">
        <v>0</v>
      </c>
      <c r="G186" s="86">
        <v>56</v>
      </c>
      <c r="H186" s="86">
        <v>5066</v>
      </c>
      <c r="I186" s="86">
        <v>120</v>
      </c>
      <c r="J186" s="86">
        <v>62</v>
      </c>
      <c r="K186" s="86">
        <v>5305</v>
      </c>
    </row>
    <row r="187" spans="1:11" x14ac:dyDescent="0.45">
      <c r="A187" s="90" t="s">
        <v>46</v>
      </c>
      <c r="B187" s="86">
        <v>0</v>
      </c>
      <c r="C187" s="86">
        <v>0</v>
      </c>
      <c r="D187" s="86">
        <v>0</v>
      </c>
      <c r="E187" s="86">
        <v>0</v>
      </c>
      <c r="F187" s="86">
        <v>0</v>
      </c>
      <c r="G187" s="86">
        <v>0</v>
      </c>
      <c r="H187" s="86">
        <v>0</v>
      </c>
      <c r="I187" s="86">
        <v>0</v>
      </c>
      <c r="J187" s="86">
        <v>0</v>
      </c>
      <c r="K187" s="86">
        <v>0</v>
      </c>
    </row>
    <row r="188" spans="1:11" x14ac:dyDescent="0.45">
      <c r="A188" s="90" t="s">
        <v>13</v>
      </c>
      <c r="B188" s="86">
        <v>0</v>
      </c>
      <c r="C188" s="86">
        <v>0</v>
      </c>
      <c r="D188" s="86">
        <v>0</v>
      </c>
      <c r="E188" s="86">
        <v>0</v>
      </c>
      <c r="F188" s="86">
        <v>0</v>
      </c>
      <c r="G188" s="86">
        <v>0</v>
      </c>
      <c r="H188" s="86">
        <v>1</v>
      </c>
      <c r="I188" s="86">
        <v>9</v>
      </c>
      <c r="J188" s="86">
        <v>136</v>
      </c>
      <c r="K188" s="86">
        <v>146</v>
      </c>
    </row>
    <row r="189" spans="1:11" x14ac:dyDescent="0.45">
      <c r="A189" s="90" t="s">
        <v>14</v>
      </c>
      <c r="B189" s="86">
        <v>0</v>
      </c>
      <c r="C189" s="86">
        <v>0</v>
      </c>
      <c r="D189" s="86">
        <v>108</v>
      </c>
      <c r="E189" s="86">
        <v>4</v>
      </c>
      <c r="F189" s="86">
        <v>14</v>
      </c>
      <c r="G189" s="86">
        <v>84</v>
      </c>
      <c r="H189" s="86">
        <v>1658</v>
      </c>
      <c r="I189" s="86">
        <v>655</v>
      </c>
      <c r="J189" s="86">
        <v>25</v>
      </c>
      <c r="K189" s="86">
        <v>2548</v>
      </c>
    </row>
    <row r="190" spans="1:11" x14ac:dyDescent="0.45">
      <c r="A190" s="90" t="s">
        <v>40</v>
      </c>
      <c r="B190" s="86">
        <v>0</v>
      </c>
      <c r="C190" s="86">
        <v>2</v>
      </c>
      <c r="D190" s="86">
        <v>0</v>
      </c>
      <c r="E190" s="86">
        <v>0</v>
      </c>
      <c r="F190" s="86">
        <v>0</v>
      </c>
      <c r="G190" s="86">
        <v>0</v>
      </c>
      <c r="H190" s="86">
        <v>2</v>
      </c>
      <c r="I190" s="86">
        <v>0</v>
      </c>
      <c r="J190" s="86">
        <v>0</v>
      </c>
      <c r="K190" s="86">
        <v>4</v>
      </c>
    </row>
    <row r="191" spans="1:11" x14ac:dyDescent="0.45">
      <c r="A191" s="90" t="s">
        <v>52</v>
      </c>
      <c r="B191" s="86">
        <v>0</v>
      </c>
      <c r="C191" s="86">
        <v>0</v>
      </c>
      <c r="D191" s="86">
        <v>0</v>
      </c>
      <c r="E191" s="86">
        <v>0</v>
      </c>
      <c r="F191" s="86">
        <v>0</v>
      </c>
      <c r="G191" s="86">
        <v>0</v>
      </c>
      <c r="H191" s="86">
        <v>0</v>
      </c>
      <c r="I191" s="86">
        <v>0</v>
      </c>
      <c r="J191" s="86">
        <v>0</v>
      </c>
      <c r="K191" s="86">
        <v>0</v>
      </c>
    </row>
    <row r="192" spans="1:11" x14ac:dyDescent="0.45">
      <c r="A192" s="90" t="s">
        <v>53</v>
      </c>
      <c r="B192" s="86">
        <v>0</v>
      </c>
      <c r="C192" s="86">
        <v>0</v>
      </c>
      <c r="D192" s="86">
        <v>0</v>
      </c>
      <c r="E192" s="86">
        <v>0</v>
      </c>
      <c r="F192" s="86">
        <v>0</v>
      </c>
      <c r="G192" s="86">
        <v>0</v>
      </c>
      <c r="H192" s="86">
        <v>0</v>
      </c>
      <c r="I192" s="86">
        <v>0</v>
      </c>
      <c r="J192" s="86">
        <v>0</v>
      </c>
      <c r="K192" s="86">
        <v>0</v>
      </c>
    </row>
    <row r="193" spans="1:21" x14ac:dyDescent="0.45">
      <c r="A193" s="90" t="s">
        <v>15</v>
      </c>
      <c r="B193" s="86">
        <v>0</v>
      </c>
      <c r="C193" s="86">
        <v>0</v>
      </c>
      <c r="D193" s="86">
        <v>0</v>
      </c>
      <c r="E193" s="86">
        <v>0</v>
      </c>
      <c r="F193" s="86">
        <v>0</v>
      </c>
      <c r="G193" s="86">
        <v>0</v>
      </c>
      <c r="H193" s="86">
        <v>4</v>
      </c>
      <c r="I193" s="86">
        <v>14</v>
      </c>
      <c r="J193" s="86">
        <v>0</v>
      </c>
      <c r="K193" s="86">
        <v>18</v>
      </c>
    </row>
    <row r="194" spans="1:21" x14ac:dyDescent="0.45">
      <c r="A194" s="90" t="s">
        <v>54</v>
      </c>
      <c r="B194" s="86">
        <v>0</v>
      </c>
      <c r="C194" s="86">
        <v>0</v>
      </c>
      <c r="D194" s="86">
        <v>0</v>
      </c>
      <c r="E194" s="86">
        <v>0</v>
      </c>
      <c r="F194" s="86">
        <v>0</v>
      </c>
      <c r="G194" s="86">
        <v>0</v>
      </c>
      <c r="H194" s="86">
        <v>19</v>
      </c>
      <c r="I194" s="86">
        <v>3</v>
      </c>
      <c r="J194" s="86">
        <v>0</v>
      </c>
      <c r="K194" s="86">
        <v>22</v>
      </c>
    </row>
    <row r="195" spans="1:21" x14ac:dyDescent="0.45">
      <c r="A195" s="90" t="s">
        <v>47</v>
      </c>
      <c r="B195" s="86">
        <v>0</v>
      </c>
      <c r="C195" s="86">
        <v>0</v>
      </c>
      <c r="D195" s="86">
        <v>0</v>
      </c>
      <c r="E195" s="86">
        <v>0</v>
      </c>
      <c r="F195" s="86">
        <v>0</v>
      </c>
      <c r="G195" s="86">
        <v>6</v>
      </c>
      <c r="H195" s="86">
        <v>155</v>
      </c>
      <c r="I195" s="86">
        <v>142</v>
      </c>
      <c r="J195" s="86">
        <v>41</v>
      </c>
      <c r="K195" s="86">
        <v>344</v>
      </c>
    </row>
    <row r="196" spans="1:21" x14ac:dyDescent="0.45">
      <c r="A196" s="90" t="s">
        <v>16</v>
      </c>
      <c r="B196" s="86">
        <v>0</v>
      </c>
      <c r="C196" s="86">
        <v>0</v>
      </c>
      <c r="D196" s="86">
        <v>0</v>
      </c>
      <c r="E196" s="86">
        <v>0</v>
      </c>
      <c r="F196" s="86">
        <v>0</v>
      </c>
      <c r="G196" s="86">
        <v>0</v>
      </c>
      <c r="H196" s="86">
        <v>0</v>
      </c>
      <c r="I196" s="86">
        <v>0</v>
      </c>
      <c r="J196" s="86">
        <v>0</v>
      </c>
      <c r="K196" s="86">
        <v>0</v>
      </c>
    </row>
    <row r="197" spans="1:21" x14ac:dyDescent="0.45">
      <c r="A197" s="90" t="s">
        <v>55</v>
      </c>
      <c r="B197" s="86">
        <v>0</v>
      </c>
      <c r="C197" s="86">
        <v>0</v>
      </c>
      <c r="D197" s="86">
        <v>0</v>
      </c>
      <c r="E197" s="86">
        <v>0</v>
      </c>
      <c r="F197" s="86">
        <v>0</v>
      </c>
      <c r="G197" s="86">
        <v>0</v>
      </c>
      <c r="H197" s="86">
        <v>0</v>
      </c>
      <c r="I197" s="86">
        <v>0</v>
      </c>
      <c r="J197" s="86">
        <v>0</v>
      </c>
      <c r="K197" s="86">
        <v>0</v>
      </c>
    </row>
    <row r="198" spans="1:21" x14ac:dyDescent="0.45">
      <c r="A198" s="90" t="s">
        <v>17</v>
      </c>
      <c r="B198" s="86">
        <v>0</v>
      </c>
      <c r="C198" s="86">
        <v>0</v>
      </c>
      <c r="D198" s="86">
        <v>0</v>
      </c>
      <c r="E198" s="86">
        <v>0</v>
      </c>
      <c r="F198" s="86">
        <v>0</v>
      </c>
      <c r="G198" s="86">
        <v>500</v>
      </c>
      <c r="H198" s="86">
        <v>0</v>
      </c>
      <c r="I198" s="86">
        <v>200</v>
      </c>
      <c r="J198" s="86">
        <v>3</v>
      </c>
      <c r="K198" s="86">
        <v>703</v>
      </c>
    </row>
    <row r="199" spans="1:21" x14ac:dyDescent="0.45">
      <c r="A199" s="90" t="s">
        <v>151</v>
      </c>
      <c r="B199" s="86">
        <v>0</v>
      </c>
      <c r="C199" s="86">
        <v>0</v>
      </c>
      <c r="D199" s="86">
        <v>0</v>
      </c>
      <c r="E199" s="86">
        <v>0</v>
      </c>
      <c r="F199" s="86">
        <v>0</v>
      </c>
      <c r="G199" s="86">
        <v>0</v>
      </c>
      <c r="H199" s="86">
        <v>0</v>
      </c>
      <c r="I199" s="86">
        <v>2</v>
      </c>
      <c r="J199" s="86">
        <v>3</v>
      </c>
      <c r="K199" s="86">
        <v>5</v>
      </c>
      <c r="N199" s="17">
        <f>SUM(N201)</f>
        <v>0</v>
      </c>
    </row>
    <row r="200" spans="1:21" x14ac:dyDescent="0.45">
      <c r="A200" s="121" t="s">
        <v>24</v>
      </c>
      <c r="B200" s="122">
        <v>1</v>
      </c>
      <c r="C200" s="122">
        <v>13</v>
      </c>
      <c r="D200" s="122">
        <v>151</v>
      </c>
      <c r="E200" s="122">
        <v>59</v>
      </c>
      <c r="F200" s="122">
        <v>102</v>
      </c>
      <c r="G200" s="122">
        <v>941</v>
      </c>
      <c r="H200" s="122">
        <v>12488</v>
      </c>
      <c r="I200" s="122">
        <v>4018</v>
      </c>
      <c r="J200" s="122">
        <v>850</v>
      </c>
      <c r="K200" s="122">
        <v>18623</v>
      </c>
      <c r="N200" s="17"/>
    </row>
    <row r="204" spans="1:21" x14ac:dyDescent="0.45">
      <c r="A204" s="94" t="s">
        <v>159</v>
      </c>
      <c r="B204" s="1" t="s">
        <v>20</v>
      </c>
      <c r="C204" s="1"/>
      <c r="D204" s="1"/>
      <c r="E204" s="1" t="s">
        <v>21</v>
      </c>
      <c r="F204" s="1"/>
      <c r="G204" s="1"/>
      <c r="H204" s="1"/>
      <c r="I204" s="1"/>
      <c r="J204" s="1"/>
      <c r="K204" s="1"/>
    </row>
    <row r="205" spans="1:21" x14ac:dyDescent="0.45">
      <c r="A205" s="108" t="s">
        <v>19</v>
      </c>
      <c r="B205" s="128">
        <v>17</v>
      </c>
      <c r="C205" s="128">
        <v>22</v>
      </c>
      <c r="D205" s="128">
        <v>27</v>
      </c>
      <c r="E205" s="128">
        <v>2</v>
      </c>
      <c r="F205" s="128">
        <v>7</v>
      </c>
      <c r="G205" s="128">
        <v>12</v>
      </c>
      <c r="H205" s="128">
        <v>17</v>
      </c>
      <c r="I205" s="128">
        <v>22</v>
      </c>
      <c r="J205" s="128">
        <v>27</v>
      </c>
      <c r="K205" s="97" t="s">
        <v>24</v>
      </c>
    </row>
    <row r="206" spans="1:21" x14ac:dyDescent="0.45">
      <c r="A206" s="90" t="s">
        <v>1</v>
      </c>
      <c r="B206" s="86">
        <v>0</v>
      </c>
      <c r="C206" s="86">
        <v>0</v>
      </c>
      <c r="D206" s="86">
        <v>3</v>
      </c>
      <c r="E206" s="86">
        <v>10</v>
      </c>
      <c r="F206" s="86">
        <v>45</v>
      </c>
      <c r="G206" s="86">
        <v>64</v>
      </c>
      <c r="H206" s="86">
        <v>52</v>
      </c>
      <c r="I206" s="86">
        <v>34</v>
      </c>
      <c r="J206" s="86">
        <v>43</v>
      </c>
      <c r="K206" s="86">
        <v>251</v>
      </c>
      <c r="O206" s="86"/>
      <c r="P206" s="86"/>
      <c r="Q206" s="86"/>
      <c r="R206" s="86"/>
      <c r="S206" s="86"/>
      <c r="T206" s="86"/>
      <c r="U206" s="17"/>
    </row>
    <row r="207" spans="1:21" x14ac:dyDescent="0.45">
      <c r="A207" s="90" t="s">
        <v>49</v>
      </c>
      <c r="B207" s="86">
        <v>0</v>
      </c>
      <c r="C207" s="86">
        <v>0</v>
      </c>
      <c r="D207" s="86">
        <v>0</v>
      </c>
      <c r="E207" s="86">
        <v>0</v>
      </c>
      <c r="F207" s="86">
        <v>0</v>
      </c>
      <c r="G207" s="86">
        <v>0</v>
      </c>
      <c r="H207" s="86">
        <v>0</v>
      </c>
      <c r="I207" s="86">
        <v>0</v>
      </c>
      <c r="J207" s="86">
        <v>0</v>
      </c>
      <c r="K207" s="86">
        <v>0</v>
      </c>
    </row>
    <row r="208" spans="1:21" x14ac:dyDescent="0.45">
      <c r="A208" s="90" t="s">
        <v>45</v>
      </c>
      <c r="B208" s="86">
        <v>0</v>
      </c>
      <c r="C208" s="86">
        <v>0</v>
      </c>
      <c r="D208" s="86">
        <v>0</v>
      </c>
      <c r="E208" s="86">
        <v>0</v>
      </c>
      <c r="F208" s="86">
        <v>0</v>
      </c>
      <c r="G208" s="86">
        <v>0</v>
      </c>
      <c r="H208" s="86">
        <v>0</v>
      </c>
      <c r="I208" s="86">
        <v>0</v>
      </c>
      <c r="J208" s="86">
        <v>0</v>
      </c>
      <c r="K208" s="86">
        <v>0</v>
      </c>
    </row>
    <row r="209" spans="1:11" x14ac:dyDescent="0.45">
      <c r="A209" s="90" t="s">
        <v>41</v>
      </c>
      <c r="B209" s="86">
        <v>0</v>
      </c>
      <c r="C209" s="86">
        <v>0</v>
      </c>
      <c r="D209" s="86">
        <v>13</v>
      </c>
      <c r="E209" s="86">
        <v>4</v>
      </c>
      <c r="F209" s="86">
        <v>0</v>
      </c>
      <c r="G209" s="86">
        <v>0</v>
      </c>
      <c r="H209" s="86">
        <v>0</v>
      </c>
      <c r="I209" s="86">
        <v>0</v>
      </c>
      <c r="J209" s="86">
        <v>0</v>
      </c>
      <c r="K209" s="86">
        <v>17</v>
      </c>
    </row>
    <row r="210" spans="1:11" x14ac:dyDescent="0.45">
      <c r="A210" s="90" t="s">
        <v>2</v>
      </c>
      <c r="B210" s="86">
        <v>0</v>
      </c>
      <c r="C210" s="86">
        <v>4</v>
      </c>
      <c r="D210" s="86">
        <v>39</v>
      </c>
      <c r="E210" s="86">
        <v>22</v>
      </c>
      <c r="F210" s="86">
        <v>38</v>
      </c>
      <c r="G210" s="86">
        <v>9</v>
      </c>
      <c r="H210" s="86">
        <v>2</v>
      </c>
      <c r="I210" s="86">
        <v>0</v>
      </c>
      <c r="J210" s="86">
        <v>0</v>
      </c>
      <c r="K210" s="86">
        <v>114</v>
      </c>
    </row>
    <row r="211" spans="1:11" x14ac:dyDescent="0.45">
      <c r="A211" s="90" t="s">
        <v>43</v>
      </c>
      <c r="B211" s="86">
        <v>0</v>
      </c>
      <c r="C211" s="86">
        <v>1</v>
      </c>
      <c r="D211" s="86">
        <v>0</v>
      </c>
      <c r="E211" s="86">
        <v>0</v>
      </c>
      <c r="F211" s="86">
        <v>2</v>
      </c>
      <c r="G211" s="86">
        <v>0</v>
      </c>
      <c r="H211" s="86">
        <v>2</v>
      </c>
      <c r="I211" s="86">
        <v>1</v>
      </c>
      <c r="J211" s="86">
        <v>2</v>
      </c>
      <c r="K211" s="86">
        <v>8</v>
      </c>
    </row>
    <row r="212" spans="1:11" x14ac:dyDescent="0.45">
      <c r="A212" s="90" t="s">
        <v>3</v>
      </c>
      <c r="B212" s="86">
        <v>0</v>
      </c>
      <c r="C212" s="86">
        <v>3</v>
      </c>
      <c r="D212" s="86">
        <v>2</v>
      </c>
      <c r="E212" s="86">
        <v>6</v>
      </c>
      <c r="F212" s="86">
        <v>0</v>
      </c>
      <c r="G212" s="86">
        <v>4</v>
      </c>
      <c r="H212" s="86">
        <v>0</v>
      </c>
      <c r="I212" s="86">
        <v>7</v>
      </c>
      <c r="J212" s="86">
        <v>2</v>
      </c>
      <c r="K212" s="86">
        <v>24</v>
      </c>
    </row>
    <row r="213" spans="1:11" x14ac:dyDescent="0.45">
      <c r="A213" s="90" t="s">
        <v>4</v>
      </c>
      <c r="B213" s="86">
        <v>0</v>
      </c>
      <c r="C213" s="86">
        <v>0</v>
      </c>
      <c r="D213" s="86">
        <v>0</v>
      </c>
      <c r="E213" s="86">
        <v>0</v>
      </c>
      <c r="F213" s="86">
        <v>0</v>
      </c>
      <c r="G213" s="86">
        <v>0</v>
      </c>
      <c r="H213" s="86">
        <v>4</v>
      </c>
      <c r="I213" s="86">
        <v>0</v>
      </c>
      <c r="J213" s="86">
        <v>0</v>
      </c>
      <c r="K213" s="86">
        <v>4</v>
      </c>
    </row>
    <row r="214" spans="1:11" x14ac:dyDescent="0.45">
      <c r="A214" s="90" t="s">
        <v>48</v>
      </c>
      <c r="B214" s="86">
        <v>0</v>
      </c>
      <c r="C214" s="86">
        <v>0</v>
      </c>
      <c r="D214" s="86">
        <v>0</v>
      </c>
      <c r="E214" s="86">
        <v>0</v>
      </c>
      <c r="F214" s="86">
        <v>0</v>
      </c>
      <c r="G214" s="86">
        <v>0</v>
      </c>
      <c r="H214" s="86">
        <v>0</v>
      </c>
      <c r="I214" s="86">
        <v>0</v>
      </c>
      <c r="J214" s="86">
        <v>0</v>
      </c>
      <c r="K214" s="86">
        <v>0</v>
      </c>
    </row>
    <row r="215" spans="1:11" x14ac:dyDescent="0.45">
      <c r="A215" s="90" t="s">
        <v>6</v>
      </c>
      <c r="B215" s="86">
        <v>0</v>
      </c>
      <c r="C215" s="86">
        <v>0</v>
      </c>
      <c r="D215" s="86">
        <v>0</v>
      </c>
      <c r="E215" s="86">
        <v>0</v>
      </c>
      <c r="F215" s="86">
        <v>0</v>
      </c>
      <c r="G215" s="86">
        <v>0</v>
      </c>
      <c r="H215" s="86">
        <v>0</v>
      </c>
      <c r="I215" s="86">
        <v>0</v>
      </c>
      <c r="J215" s="86">
        <v>0</v>
      </c>
      <c r="K215" s="86">
        <v>0</v>
      </c>
    </row>
    <row r="216" spans="1:11" x14ac:dyDescent="0.45">
      <c r="A216" s="90" t="s">
        <v>7</v>
      </c>
      <c r="B216" s="86">
        <v>0</v>
      </c>
      <c r="C216" s="86">
        <v>0</v>
      </c>
      <c r="D216" s="86">
        <v>0</v>
      </c>
      <c r="E216" s="86">
        <v>2</v>
      </c>
      <c r="F216" s="86">
        <v>12</v>
      </c>
      <c r="G216" s="86">
        <v>1</v>
      </c>
      <c r="H216" s="86">
        <v>1</v>
      </c>
      <c r="I216" s="86">
        <v>10</v>
      </c>
      <c r="J216" s="86">
        <v>0</v>
      </c>
      <c r="K216" s="86">
        <v>26</v>
      </c>
    </row>
    <row r="217" spans="1:11" x14ac:dyDescent="0.45">
      <c r="A217" s="90" t="s">
        <v>83</v>
      </c>
      <c r="B217" s="86">
        <v>0</v>
      </c>
      <c r="C217" s="86">
        <v>0</v>
      </c>
      <c r="D217" s="86">
        <v>0</v>
      </c>
      <c r="E217" s="86">
        <v>0</v>
      </c>
      <c r="F217" s="86">
        <v>0</v>
      </c>
      <c r="G217" s="86">
        <v>0</v>
      </c>
      <c r="H217" s="86">
        <v>0</v>
      </c>
      <c r="I217" s="86">
        <v>0</v>
      </c>
      <c r="J217" s="86">
        <v>0</v>
      </c>
      <c r="K217" s="86">
        <v>0</v>
      </c>
    </row>
    <row r="218" spans="1:11" x14ac:dyDescent="0.45">
      <c r="A218" s="90" t="s">
        <v>50</v>
      </c>
      <c r="B218" s="86">
        <v>0</v>
      </c>
      <c r="C218" s="86">
        <v>0</v>
      </c>
      <c r="D218" s="86">
        <v>0</v>
      </c>
      <c r="E218" s="86">
        <v>0</v>
      </c>
      <c r="F218" s="86">
        <v>0</v>
      </c>
      <c r="G218" s="86">
        <v>0</v>
      </c>
      <c r="H218" s="86">
        <v>0</v>
      </c>
      <c r="I218" s="86">
        <v>0</v>
      </c>
      <c r="J218" s="86">
        <v>0</v>
      </c>
      <c r="K218" s="86">
        <v>0</v>
      </c>
    </row>
    <row r="219" spans="1:11" x14ac:dyDescent="0.45">
      <c r="A219" s="90" t="s">
        <v>51</v>
      </c>
      <c r="B219" s="86">
        <v>0</v>
      </c>
      <c r="C219" s="86">
        <v>0</v>
      </c>
      <c r="D219" s="86">
        <v>0</v>
      </c>
      <c r="E219" s="86">
        <v>3</v>
      </c>
      <c r="F219" s="86">
        <v>0</v>
      </c>
      <c r="G219" s="86">
        <v>0</v>
      </c>
      <c r="H219" s="86">
        <v>0</v>
      </c>
      <c r="I219" s="86">
        <v>0</v>
      </c>
      <c r="J219" s="86">
        <v>0</v>
      </c>
      <c r="K219" s="86">
        <v>3</v>
      </c>
    </row>
    <row r="220" spans="1:11" x14ac:dyDescent="0.45">
      <c r="A220" s="90" t="s">
        <v>42</v>
      </c>
      <c r="B220" s="86">
        <v>0</v>
      </c>
      <c r="C220" s="86">
        <v>0</v>
      </c>
      <c r="D220" s="86">
        <v>0</v>
      </c>
      <c r="E220" s="86">
        <v>4</v>
      </c>
      <c r="F220" s="86">
        <v>4</v>
      </c>
      <c r="G220" s="86">
        <v>0</v>
      </c>
      <c r="H220" s="86">
        <v>0</v>
      </c>
      <c r="I220" s="86">
        <v>0</v>
      </c>
      <c r="J220" s="86">
        <v>0</v>
      </c>
      <c r="K220" s="86">
        <v>8</v>
      </c>
    </row>
    <row r="221" spans="1:11" x14ac:dyDescent="0.45">
      <c r="A221" s="90" t="s">
        <v>8</v>
      </c>
      <c r="B221" s="86">
        <v>0</v>
      </c>
      <c r="C221" s="86">
        <v>0</v>
      </c>
      <c r="D221" s="86">
        <v>0</v>
      </c>
      <c r="E221" s="86">
        <v>0</v>
      </c>
      <c r="F221" s="86">
        <v>0</v>
      </c>
      <c r="G221" s="86">
        <v>15</v>
      </c>
      <c r="H221" s="86">
        <v>20</v>
      </c>
      <c r="I221" s="86">
        <v>1</v>
      </c>
      <c r="J221" s="86">
        <v>3</v>
      </c>
      <c r="K221" s="86">
        <v>39</v>
      </c>
    </row>
    <row r="222" spans="1:11" x14ac:dyDescent="0.45">
      <c r="A222" s="90" t="s">
        <v>9</v>
      </c>
      <c r="B222" s="86">
        <v>0</v>
      </c>
      <c r="C222" s="86">
        <v>4</v>
      </c>
      <c r="D222" s="86">
        <v>6</v>
      </c>
      <c r="E222" s="86">
        <v>160</v>
      </c>
      <c r="F222" s="86">
        <v>878</v>
      </c>
      <c r="G222" s="86">
        <v>798</v>
      </c>
      <c r="H222" s="86">
        <v>276</v>
      </c>
      <c r="I222" s="86">
        <v>482</v>
      </c>
      <c r="J222" s="86">
        <v>40</v>
      </c>
      <c r="K222" s="86">
        <v>2644</v>
      </c>
    </row>
    <row r="223" spans="1:11" x14ac:dyDescent="0.45">
      <c r="A223" s="90" t="s">
        <v>44</v>
      </c>
      <c r="B223" s="86">
        <v>0</v>
      </c>
      <c r="C223" s="86">
        <v>0</v>
      </c>
      <c r="D223" s="86">
        <v>0</v>
      </c>
      <c r="E223" s="86">
        <v>0</v>
      </c>
      <c r="F223" s="86">
        <v>1</v>
      </c>
      <c r="G223" s="86">
        <v>1</v>
      </c>
      <c r="H223" s="86">
        <v>0</v>
      </c>
      <c r="I223" s="86">
        <v>0</v>
      </c>
      <c r="J223" s="86">
        <v>0</v>
      </c>
      <c r="K223" s="86">
        <v>2</v>
      </c>
    </row>
    <row r="224" spans="1:11" x14ac:dyDescent="0.45">
      <c r="A224" s="90" t="s">
        <v>10</v>
      </c>
      <c r="B224" s="86">
        <v>0</v>
      </c>
      <c r="C224" s="86">
        <v>0</v>
      </c>
      <c r="D224" s="86">
        <v>1</v>
      </c>
      <c r="E224" s="86">
        <v>4</v>
      </c>
      <c r="F224" s="86">
        <v>15</v>
      </c>
      <c r="G224" s="86">
        <v>34</v>
      </c>
      <c r="H224" s="86">
        <v>1</v>
      </c>
      <c r="I224" s="86">
        <v>0</v>
      </c>
      <c r="J224" s="86">
        <v>1</v>
      </c>
      <c r="K224" s="86">
        <v>56</v>
      </c>
    </row>
    <row r="225" spans="1:11" x14ac:dyDescent="0.45">
      <c r="A225" s="90" t="s">
        <v>11</v>
      </c>
      <c r="B225" s="86">
        <v>0</v>
      </c>
      <c r="C225" s="86">
        <v>0</v>
      </c>
      <c r="D225" s="86">
        <v>61</v>
      </c>
      <c r="E225" s="86">
        <v>281</v>
      </c>
      <c r="F225" s="86">
        <v>2109</v>
      </c>
      <c r="G225" s="86">
        <v>1174</v>
      </c>
      <c r="H225" s="86">
        <v>353</v>
      </c>
      <c r="I225" s="86">
        <v>20</v>
      </c>
      <c r="J225" s="86">
        <v>2</v>
      </c>
      <c r="K225" s="86">
        <v>4000</v>
      </c>
    </row>
    <row r="226" spans="1:11" x14ac:dyDescent="0.45">
      <c r="A226" s="90" t="s">
        <v>12</v>
      </c>
      <c r="B226" s="86">
        <v>0</v>
      </c>
      <c r="C226" s="86">
        <v>0</v>
      </c>
      <c r="D226" s="86">
        <v>0</v>
      </c>
      <c r="E226" s="86">
        <v>20</v>
      </c>
      <c r="F226" s="86">
        <v>79</v>
      </c>
      <c r="G226" s="86">
        <v>12</v>
      </c>
      <c r="H226" s="86">
        <v>23</v>
      </c>
      <c r="I226" s="86">
        <v>61</v>
      </c>
      <c r="J226" s="86">
        <v>0</v>
      </c>
      <c r="K226" s="86">
        <v>195</v>
      </c>
    </row>
    <row r="227" spans="1:11" x14ac:dyDescent="0.45">
      <c r="A227" s="90" t="s">
        <v>32</v>
      </c>
      <c r="B227" s="86">
        <v>0</v>
      </c>
      <c r="C227" s="86">
        <v>0</v>
      </c>
      <c r="D227" s="86">
        <v>0</v>
      </c>
      <c r="E227" s="86">
        <v>1</v>
      </c>
      <c r="F227" s="86">
        <v>0</v>
      </c>
      <c r="G227" s="86">
        <v>0</v>
      </c>
      <c r="H227" s="86">
        <v>11</v>
      </c>
      <c r="I227" s="86">
        <v>1</v>
      </c>
      <c r="J227" s="86">
        <v>0</v>
      </c>
      <c r="K227" s="86">
        <v>13</v>
      </c>
    </row>
    <row r="228" spans="1:11" x14ac:dyDescent="0.45">
      <c r="A228" s="90" t="s">
        <v>18</v>
      </c>
      <c r="B228" s="86">
        <v>0</v>
      </c>
      <c r="C228" s="86">
        <v>0</v>
      </c>
      <c r="D228" s="86">
        <v>8</v>
      </c>
      <c r="E228" s="86">
        <v>103</v>
      </c>
      <c r="F228" s="86">
        <v>765</v>
      </c>
      <c r="G228" s="86">
        <v>61</v>
      </c>
      <c r="H228" s="86">
        <v>50</v>
      </c>
      <c r="I228" s="86">
        <v>0</v>
      </c>
      <c r="J228" s="86">
        <v>0</v>
      </c>
      <c r="K228" s="86">
        <v>987</v>
      </c>
    </row>
    <row r="229" spans="1:11" x14ac:dyDescent="0.45">
      <c r="A229" s="90" t="s">
        <v>46</v>
      </c>
      <c r="B229" s="86">
        <v>0</v>
      </c>
      <c r="C229" s="86">
        <v>0</v>
      </c>
      <c r="D229" s="86">
        <v>0</v>
      </c>
      <c r="E229" s="86">
        <v>0</v>
      </c>
      <c r="F229" s="86">
        <v>0</v>
      </c>
      <c r="G229" s="86">
        <v>0</v>
      </c>
      <c r="H229" s="86">
        <v>0</v>
      </c>
      <c r="I229" s="86">
        <v>2</v>
      </c>
      <c r="J229" s="86">
        <v>0</v>
      </c>
      <c r="K229" s="86">
        <v>2</v>
      </c>
    </row>
    <row r="230" spans="1:11" x14ac:dyDescent="0.45">
      <c r="A230" s="90" t="s">
        <v>13</v>
      </c>
      <c r="B230" s="86">
        <v>0</v>
      </c>
      <c r="C230" s="86">
        <v>0</v>
      </c>
      <c r="D230" s="86">
        <v>0</v>
      </c>
      <c r="E230" s="86">
        <v>0</v>
      </c>
      <c r="F230" s="86">
        <v>0</v>
      </c>
      <c r="G230" s="86">
        <v>0</v>
      </c>
      <c r="H230" s="86">
        <v>1</v>
      </c>
      <c r="I230" s="86">
        <v>97</v>
      </c>
      <c r="J230" s="86">
        <v>0</v>
      </c>
      <c r="K230" s="86">
        <v>98</v>
      </c>
    </row>
    <row r="231" spans="1:11" x14ac:dyDescent="0.45">
      <c r="A231" s="90" t="s">
        <v>14</v>
      </c>
      <c r="B231" s="86">
        <v>3</v>
      </c>
      <c r="C231" s="86">
        <v>1</v>
      </c>
      <c r="D231" s="86">
        <v>46</v>
      </c>
      <c r="E231" s="86">
        <v>300</v>
      </c>
      <c r="F231" s="86">
        <v>946</v>
      </c>
      <c r="G231" s="86">
        <v>111</v>
      </c>
      <c r="H231" s="86">
        <v>108</v>
      </c>
      <c r="I231" s="86">
        <v>9</v>
      </c>
      <c r="J231" s="86">
        <v>6</v>
      </c>
      <c r="K231" s="86">
        <v>1530</v>
      </c>
    </row>
    <row r="232" spans="1:11" x14ac:dyDescent="0.45">
      <c r="A232" s="90" t="s">
        <v>40</v>
      </c>
      <c r="B232" s="86">
        <v>0</v>
      </c>
      <c r="C232" s="86">
        <v>0</v>
      </c>
      <c r="D232" s="86">
        <v>0</v>
      </c>
      <c r="E232" s="86">
        <v>1</v>
      </c>
      <c r="F232" s="86">
        <v>0</v>
      </c>
      <c r="G232" s="86">
        <v>1</v>
      </c>
      <c r="H232" s="86">
        <v>3</v>
      </c>
      <c r="I232" s="86">
        <v>1</v>
      </c>
      <c r="J232" s="86">
        <v>0</v>
      </c>
      <c r="K232" s="86">
        <v>6</v>
      </c>
    </row>
    <row r="233" spans="1:11" x14ac:dyDescent="0.45">
      <c r="A233" s="90" t="s">
        <v>52</v>
      </c>
      <c r="B233" s="86">
        <v>0</v>
      </c>
      <c r="C233" s="86">
        <v>0</v>
      </c>
      <c r="D233" s="86">
        <v>0</v>
      </c>
      <c r="E233" s="86">
        <v>0</v>
      </c>
      <c r="F233" s="86">
        <v>0</v>
      </c>
      <c r="G233" s="86">
        <v>0</v>
      </c>
      <c r="H233" s="86">
        <v>0</v>
      </c>
      <c r="I233" s="86">
        <v>0</v>
      </c>
      <c r="J233" s="86">
        <v>0</v>
      </c>
      <c r="K233" s="86">
        <v>0</v>
      </c>
    </row>
    <row r="234" spans="1:11" x14ac:dyDescent="0.45">
      <c r="A234" s="90" t="s">
        <v>53</v>
      </c>
      <c r="B234" s="86">
        <v>0</v>
      </c>
      <c r="C234" s="86">
        <v>0</v>
      </c>
      <c r="D234" s="86">
        <v>0</v>
      </c>
      <c r="E234" s="86">
        <v>0</v>
      </c>
      <c r="F234" s="86">
        <v>0</v>
      </c>
      <c r="G234" s="86">
        <v>0</v>
      </c>
      <c r="H234" s="86">
        <v>1</v>
      </c>
      <c r="I234" s="86">
        <v>0</v>
      </c>
      <c r="J234" s="86">
        <v>0</v>
      </c>
      <c r="K234" s="86">
        <v>1</v>
      </c>
    </row>
    <row r="235" spans="1:11" x14ac:dyDescent="0.45">
      <c r="A235" s="90" t="s">
        <v>15</v>
      </c>
      <c r="B235" s="86">
        <v>0</v>
      </c>
      <c r="C235" s="86">
        <v>0</v>
      </c>
      <c r="D235" s="86">
        <v>1</v>
      </c>
      <c r="E235" s="86">
        <v>9</v>
      </c>
      <c r="F235" s="86">
        <v>0</v>
      </c>
      <c r="G235" s="86">
        <v>1</v>
      </c>
      <c r="H235" s="86">
        <v>2</v>
      </c>
      <c r="I235" s="86">
        <v>0</v>
      </c>
      <c r="J235" s="86">
        <v>2</v>
      </c>
      <c r="K235" s="86">
        <v>15</v>
      </c>
    </row>
    <row r="236" spans="1:11" x14ac:dyDescent="0.45">
      <c r="A236" s="90" t="s">
        <v>54</v>
      </c>
      <c r="B236" s="86">
        <v>0</v>
      </c>
      <c r="C236" s="86">
        <v>0</v>
      </c>
      <c r="D236" s="86">
        <v>0</v>
      </c>
      <c r="E236" s="86">
        <v>0</v>
      </c>
      <c r="F236" s="86">
        <v>2</v>
      </c>
      <c r="G236" s="86">
        <v>20</v>
      </c>
      <c r="H236" s="86">
        <v>14</v>
      </c>
      <c r="I236" s="86">
        <v>0</v>
      </c>
      <c r="J236" s="86">
        <v>0</v>
      </c>
      <c r="K236" s="86">
        <v>36</v>
      </c>
    </row>
    <row r="237" spans="1:11" x14ac:dyDescent="0.45">
      <c r="A237" s="90" t="s">
        <v>47</v>
      </c>
      <c r="B237" s="86">
        <v>0</v>
      </c>
      <c r="C237" s="86">
        <v>0</v>
      </c>
      <c r="D237" s="86">
        <v>0</v>
      </c>
      <c r="E237" s="86">
        <v>36</v>
      </c>
      <c r="F237" s="86">
        <v>7</v>
      </c>
      <c r="G237" s="86">
        <v>6</v>
      </c>
      <c r="H237" s="86">
        <v>0</v>
      </c>
      <c r="I237" s="86">
        <v>0</v>
      </c>
      <c r="J237" s="86">
        <v>0</v>
      </c>
      <c r="K237" s="86">
        <v>49</v>
      </c>
    </row>
    <row r="238" spans="1:11" x14ac:dyDescent="0.45">
      <c r="A238" s="90" t="s">
        <v>16</v>
      </c>
      <c r="B238" s="86">
        <v>0</v>
      </c>
      <c r="C238" s="86">
        <v>0</v>
      </c>
      <c r="D238" s="86">
        <v>0</v>
      </c>
      <c r="E238" s="86">
        <v>0</v>
      </c>
      <c r="F238" s="86">
        <v>0</v>
      </c>
      <c r="G238" s="86">
        <v>0</v>
      </c>
      <c r="H238" s="86">
        <v>0</v>
      </c>
      <c r="I238" s="86">
        <v>0</v>
      </c>
      <c r="J238" s="86">
        <v>0</v>
      </c>
      <c r="K238" s="86">
        <v>0</v>
      </c>
    </row>
    <row r="239" spans="1:11" x14ac:dyDescent="0.45">
      <c r="A239" s="90" t="s">
        <v>55</v>
      </c>
      <c r="B239" s="86">
        <v>0</v>
      </c>
      <c r="C239" s="86">
        <v>0</v>
      </c>
      <c r="D239" s="86">
        <v>0</v>
      </c>
      <c r="E239" s="86">
        <v>4</v>
      </c>
      <c r="F239" s="86">
        <v>0</v>
      </c>
      <c r="G239" s="86">
        <v>0</v>
      </c>
      <c r="H239" s="86">
        <v>0</v>
      </c>
      <c r="I239" s="86">
        <v>0</v>
      </c>
      <c r="J239" s="86">
        <v>1</v>
      </c>
      <c r="K239" s="86">
        <v>5</v>
      </c>
    </row>
    <row r="240" spans="1:11" x14ac:dyDescent="0.45">
      <c r="A240" s="34" t="s">
        <v>17</v>
      </c>
      <c r="B240" s="99">
        <v>0</v>
      </c>
      <c r="C240" s="99">
        <v>0</v>
      </c>
      <c r="D240" s="99">
        <v>0</v>
      </c>
      <c r="E240" s="99">
        <v>0</v>
      </c>
      <c r="F240" s="99">
        <v>3001</v>
      </c>
      <c r="G240" s="99">
        <v>0</v>
      </c>
      <c r="H240" s="99">
        <v>0</v>
      </c>
      <c r="I240" s="99">
        <v>1</v>
      </c>
      <c r="J240" s="99">
        <v>4</v>
      </c>
      <c r="K240" s="99">
        <v>3006</v>
      </c>
    </row>
    <row r="241" spans="1:11" x14ac:dyDescent="0.45">
      <c r="A241" s="95" t="s">
        <v>24</v>
      </c>
      <c r="B241" s="86">
        <v>3</v>
      </c>
      <c r="C241" s="86">
        <v>13</v>
      </c>
      <c r="D241" s="86">
        <v>180</v>
      </c>
      <c r="E241" s="86">
        <v>970</v>
      </c>
      <c r="F241" s="86">
        <v>7904</v>
      </c>
      <c r="G241" s="86">
        <v>2312</v>
      </c>
      <c r="H241" s="86">
        <v>924</v>
      </c>
      <c r="I241" s="86">
        <v>727</v>
      </c>
      <c r="J241" s="86">
        <v>106</v>
      </c>
      <c r="K241" s="86">
        <v>13139</v>
      </c>
    </row>
    <row r="244" spans="1:11" x14ac:dyDescent="0.45">
      <c r="A244" s="94" t="s">
        <v>174</v>
      </c>
      <c r="B244" s="1" t="s">
        <v>20</v>
      </c>
      <c r="C244" s="1"/>
      <c r="D244" s="1"/>
      <c r="E244" s="1" t="s">
        <v>21</v>
      </c>
      <c r="F244" s="1"/>
      <c r="G244" s="1"/>
      <c r="H244" s="1"/>
      <c r="I244" s="1"/>
      <c r="J244" s="1"/>
      <c r="K244" s="1"/>
    </row>
    <row r="245" spans="1:11" x14ac:dyDescent="0.45">
      <c r="A245" s="108" t="s">
        <v>19</v>
      </c>
      <c r="B245" s="128">
        <v>16</v>
      </c>
      <c r="C245" s="128">
        <v>21</v>
      </c>
      <c r="D245" s="128">
        <v>26</v>
      </c>
      <c r="E245" s="128">
        <v>1</v>
      </c>
      <c r="F245" s="128">
        <v>6</v>
      </c>
      <c r="G245" s="128">
        <v>11</v>
      </c>
      <c r="H245" s="128">
        <v>16</v>
      </c>
      <c r="I245" s="128">
        <v>21</v>
      </c>
      <c r="J245" s="128">
        <v>26</v>
      </c>
      <c r="K245" s="97" t="s">
        <v>24</v>
      </c>
    </row>
    <row r="246" spans="1:11" x14ac:dyDescent="0.45">
      <c r="A246" s="162" t="s">
        <v>1</v>
      </c>
      <c r="B246" s="86">
        <v>0</v>
      </c>
      <c r="C246" s="86">
        <v>0</v>
      </c>
      <c r="D246" s="86">
        <v>0</v>
      </c>
      <c r="E246" s="86">
        <v>16</v>
      </c>
      <c r="F246" s="86">
        <v>23</v>
      </c>
      <c r="G246" s="86">
        <v>53</v>
      </c>
      <c r="H246" s="86">
        <v>96</v>
      </c>
      <c r="I246" s="86">
        <v>51</v>
      </c>
      <c r="J246" s="86">
        <v>34</v>
      </c>
      <c r="K246" s="86">
        <f>SUM(B246:J246)</f>
        <v>273</v>
      </c>
    </row>
    <row r="247" spans="1:11" x14ac:dyDescent="0.45">
      <c r="A247" s="90" t="s">
        <v>49</v>
      </c>
      <c r="B247" s="86">
        <v>0</v>
      </c>
      <c r="C247" s="86">
        <v>0</v>
      </c>
      <c r="D247" s="86">
        <v>0</v>
      </c>
      <c r="E247" s="86">
        <v>0</v>
      </c>
      <c r="F247" s="86">
        <v>0</v>
      </c>
      <c r="G247" s="86">
        <v>0</v>
      </c>
      <c r="H247" s="86">
        <v>0</v>
      </c>
      <c r="I247" s="86">
        <v>0</v>
      </c>
      <c r="J247" s="86">
        <v>0</v>
      </c>
      <c r="K247" s="86">
        <v>0</v>
      </c>
    </row>
    <row r="248" spans="1:11" x14ac:dyDescent="0.45">
      <c r="A248" s="90" t="s">
        <v>45</v>
      </c>
      <c r="B248" s="86">
        <v>0</v>
      </c>
      <c r="C248" s="86">
        <v>0</v>
      </c>
      <c r="D248" s="86">
        <v>0</v>
      </c>
      <c r="E248" s="86">
        <v>0</v>
      </c>
      <c r="F248" s="86">
        <v>0</v>
      </c>
      <c r="G248" s="86">
        <v>0</v>
      </c>
      <c r="H248" s="86">
        <v>0</v>
      </c>
      <c r="I248" s="86">
        <v>0</v>
      </c>
      <c r="J248" s="86">
        <v>0</v>
      </c>
      <c r="K248" s="86">
        <v>0</v>
      </c>
    </row>
    <row r="249" spans="1:11" x14ac:dyDescent="0.45">
      <c r="A249" s="90" t="s">
        <v>41</v>
      </c>
      <c r="B249" s="86">
        <v>0</v>
      </c>
      <c r="C249" s="86">
        <v>0</v>
      </c>
      <c r="D249" s="86">
        <v>0</v>
      </c>
      <c r="E249" s="86">
        <v>0</v>
      </c>
      <c r="F249" s="86">
        <v>0</v>
      </c>
      <c r="G249" s="86">
        <v>2</v>
      </c>
      <c r="H249" s="86">
        <v>2</v>
      </c>
      <c r="I249" s="86">
        <v>0</v>
      </c>
      <c r="J249" s="86">
        <v>0</v>
      </c>
      <c r="K249" s="86">
        <v>4</v>
      </c>
    </row>
    <row r="250" spans="1:11" x14ac:dyDescent="0.45">
      <c r="A250" s="90" t="s">
        <v>2</v>
      </c>
      <c r="B250" s="86">
        <v>0</v>
      </c>
      <c r="C250" s="86">
        <v>0</v>
      </c>
      <c r="D250" s="86">
        <v>32</v>
      </c>
      <c r="E250" s="86">
        <v>141</v>
      </c>
      <c r="F250" s="86">
        <v>20</v>
      </c>
      <c r="G250" s="86">
        <v>13</v>
      </c>
      <c r="H250" s="86">
        <v>2</v>
      </c>
      <c r="I250" s="86">
        <v>2</v>
      </c>
      <c r="J250" s="86">
        <v>0</v>
      </c>
      <c r="K250" s="86">
        <v>210</v>
      </c>
    </row>
    <row r="251" spans="1:11" x14ac:dyDescent="0.45">
      <c r="A251" s="90" t="s">
        <v>43</v>
      </c>
      <c r="B251" s="86">
        <v>0</v>
      </c>
      <c r="C251" s="86">
        <v>5</v>
      </c>
      <c r="D251" s="86">
        <v>0</v>
      </c>
      <c r="E251" s="86">
        <v>0</v>
      </c>
      <c r="F251" s="86">
        <v>6</v>
      </c>
      <c r="G251" s="86">
        <v>2</v>
      </c>
      <c r="H251" s="86">
        <v>0</v>
      </c>
      <c r="I251" s="86">
        <v>2</v>
      </c>
      <c r="J251" s="86">
        <v>3</v>
      </c>
      <c r="K251" s="86">
        <v>18</v>
      </c>
    </row>
    <row r="252" spans="1:11" x14ac:dyDescent="0.45">
      <c r="A252" s="90" t="s">
        <v>3</v>
      </c>
      <c r="B252" s="86">
        <v>1</v>
      </c>
      <c r="C252" s="86">
        <v>6</v>
      </c>
      <c r="D252" s="86">
        <v>4</v>
      </c>
      <c r="E252" s="86">
        <v>3</v>
      </c>
      <c r="F252" s="86">
        <v>12</v>
      </c>
      <c r="G252" s="86">
        <v>4</v>
      </c>
      <c r="H252" s="86">
        <v>4</v>
      </c>
      <c r="I252" s="86">
        <v>3</v>
      </c>
      <c r="J252" s="86">
        <v>2</v>
      </c>
      <c r="K252" s="86">
        <v>39</v>
      </c>
    </row>
    <row r="253" spans="1:11" x14ac:dyDescent="0.45">
      <c r="A253" s="90" t="s">
        <v>4</v>
      </c>
      <c r="B253" s="86">
        <v>0</v>
      </c>
      <c r="C253" s="86">
        <v>1</v>
      </c>
      <c r="D253" s="86">
        <v>0</v>
      </c>
      <c r="E253" s="86">
        <v>3</v>
      </c>
      <c r="F253" s="86">
        <v>1</v>
      </c>
      <c r="G253" s="86">
        <v>4</v>
      </c>
      <c r="H253" s="86">
        <v>1</v>
      </c>
      <c r="I253" s="86">
        <v>1</v>
      </c>
      <c r="J253" s="86">
        <v>0</v>
      </c>
      <c r="K253" s="86">
        <v>11</v>
      </c>
    </row>
    <row r="254" spans="1:11" x14ac:dyDescent="0.45">
      <c r="A254" s="90" t="s">
        <v>48</v>
      </c>
      <c r="B254" s="86">
        <v>0</v>
      </c>
      <c r="C254" s="86">
        <v>0</v>
      </c>
      <c r="D254" s="86">
        <v>0</v>
      </c>
      <c r="E254" s="86">
        <v>0</v>
      </c>
      <c r="F254" s="86">
        <v>5</v>
      </c>
      <c r="G254" s="86">
        <v>0</v>
      </c>
      <c r="H254" s="86">
        <v>0</v>
      </c>
      <c r="I254" s="86">
        <v>0</v>
      </c>
      <c r="J254" s="86">
        <v>0</v>
      </c>
      <c r="K254" s="86">
        <v>5</v>
      </c>
    </row>
    <row r="255" spans="1:11" x14ac:dyDescent="0.45">
      <c r="A255" s="90" t="s">
        <v>6</v>
      </c>
      <c r="B255" s="86">
        <v>0</v>
      </c>
      <c r="C255" s="86">
        <v>0</v>
      </c>
      <c r="D255" s="86">
        <v>0</v>
      </c>
      <c r="E255" s="86">
        <v>0</v>
      </c>
      <c r="F255" s="86">
        <v>0</v>
      </c>
      <c r="G255" s="86">
        <v>0</v>
      </c>
      <c r="H255" s="86">
        <v>0</v>
      </c>
      <c r="I255" s="86">
        <v>0</v>
      </c>
      <c r="J255" s="86">
        <v>0</v>
      </c>
      <c r="K255" s="86">
        <v>0</v>
      </c>
    </row>
    <row r="256" spans="1:11" x14ac:dyDescent="0.45">
      <c r="A256" s="90" t="s">
        <v>7</v>
      </c>
      <c r="B256" s="86">
        <v>0</v>
      </c>
      <c r="C256" s="86">
        <v>0</v>
      </c>
      <c r="D256" s="86">
        <v>0</v>
      </c>
      <c r="E256" s="86">
        <v>3</v>
      </c>
      <c r="F256" s="86">
        <v>4</v>
      </c>
      <c r="G256" s="86">
        <v>2</v>
      </c>
      <c r="H256" s="86">
        <v>19</v>
      </c>
      <c r="I256" s="86">
        <v>0</v>
      </c>
      <c r="J256" s="86">
        <v>0</v>
      </c>
      <c r="K256" s="86">
        <v>28</v>
      </c>
    </row>
    <row r="257" spans="1:11" x14ac:dyDescent="0.45">
      <c r="A257" s="90" t="s">
        <v>83</v>
      </c>
      <c r="B257" s="86">
        <v>0</v>
      </c>
      <c r="C257" s="86">
        <v>0</v>
      </c>
      <c r="D257" s="86">
        <v>0</v>
      </c>
      <c r="E257" s="86">
        <v>0</v>
      </c>
      <c r="F257" s="86">
        <v>0</v>
      </c>
      <c r="G257" s="86">
        <v>0</v>
      </c>
      <c r="H257" s="86">
        <v>0</v>
      </c>
      <c r="I257" s="86">
        <v>0</v>
      </c>
      <c r="J257" s="86">
        <v>0</v>
      </c>
      <c r="K257" s="86">
        <v>0</v>
      </c>
    </row>
    <row r="258" spans="1:11" x14ac:dyDescent="0.45">
      <c r="A258" s="90" t="s">
        <v>50</v>
      </c>
      <c r="B258" s="86">
        <v>0</v>
      </c>
      <c r="C258" s="86">
        <v>0</v>
      </c>
      <c r="D258" s="86">
        <v>0</v>
      </c>
      <c r="E258" s="86">
        <v>0</v>
      </c>
      <c r="F258" s="86">
        <v>0</v>
      </c>
      <c r="G258" s="86">
        <v>0</v>
      </c>
      <c r="H258" s="86">
        <v>0</v>
      </c>
      <c r="I258" s="86">
        <v>0</v>
      </c>
      <c r="J258" s="86">
        <v>0</v>
      </c>
      <c r="K258" s="86">
        <v>0</v>
      </c>
    </row>
    <row r="259" spans="1:11" x14ac:dyDescent="0.45">
      <c r="A259" s="90" t="s">
        <v>51</v>
      </c>
      <c r="B259" s="86">
        <v>0</v>
      </c>
      <c r="C259" s="86">
        <v>0</v>
      </c>
      <c r="D259" s="86">
        <v>0</v>
      </c>
      <c r="E259" s="86">
        <v>0</v>
      </c>
      <c r="F259" s="86">
        <v>0</v>
      </c>
      <c r="G259" s="86">
        <v>0</v>
      </c>
      <c r="H259" s="86">
        <v>0</v>
      </c>
      <c r="I259" s="86">
        <v>0</v>
      </c>
      <c r="J259" s="86">
        <v>0</v>
      </c>
      <c r="K259" s="86">
        <v>0</v>
      </c>
    </row>
    <row r="260" spans="1:11" x14ac:dyDescent="0.45">
      <c r="A260" s="90" t="s">
        <v>42</v>
      </c>
      <c r="B260" s="86">
        <v>0</v>
      </c>
      <c r="C260" s="86">
        <v>0</v>
      </c>
      <c r="D260" s="86">
        <v>0</v>
      </c>
      <c r="E260" s="86">
        <v>0</v>
      </c>
      <c r="F260" s="86">
        <v>4</v>
      </c>
      <c r="G260" s="86">
        <v>0</v>
      </c>
      <c r="H260" s="86">
        <v>0</v>
      </c>
      <c r="I260" s="86">
        <v>0</v>
      </c>
      <c r="J260" s="86">
        <v>1</v>
      </c>
      <c r="K260" s="86">
        <v>5</v>
      </c>
    </row>
    <row r="261" spans="1:11" x14ac:dyDescent="0.45">
      <c r="A261" s="90" t="s">
        <v>8</v>
      </c>
      <c r="B261" s="86">
        <v>0</v>
      </c>
      <c r="C261" s="86">
        <v>0</v>
      </c>
      <c r="D261" s="86">
        <v>0</v>
      </c>
      <c r="E261" s="86">
        <v>0</v>
      </c>
      <c r="F261" s="86">
        <v>1</v>
      </c>
      <c r="G261" s="86">
        <v>18</v>
      </c>
      <c r="H261" s="86">
        <v>12</v>
      </c>
      <c r="I261" s="86">
        <v>8</v>
      </c>
      <c r="J261" s="86">
        <v>0</v>
      </c>
      <c r="K261" s="86">
        <v>39</v>
      </c>
    </row>
    <row r="262" spans="1:11" x14ac:dyDescent="0.45">
      <c r="A262" s="90" t="s">
        <v>9</v>
      </c>
      <c r="B262" s="86">
        <v>0</v>
      </c>
      <c r="C262" s="86">
        <v>0</v>
      </c>
      <c r="D262" s="86">
        <v>0</v>
      </c>
      <c r="E262" s="86">
        <v>118</v>
      </c>
      <c r="F262" s="86">
        <v>1240</v>
      </c>
      <c r="G262" s="86">
        <v>663</v>
      </c>
      <c r="H262" s="86">
        <v>40</v>
      </c>
      <c r="I262" s="86">
        <v>50</v>
      </c>
      <c r="J262" s="86">
        <v>0</v>
      </c>
      <c r="K262" s="86">
        <v>2111</v>
      </c>
    </row>
    <row r="263" spans="1:11" x14ac:dyDescent="0.45">
      <c r="A263" s="90" t="s">
        <v>44</v>
      </c>
      <c r="B263" s="86">
        <v>0</v>
      </c>
      <c r="C263" s="86">
        <v>0</v>
      </c>
      <c r="D263" s="86">
        <v>0</v>
      </c>
      <c r="E263" s="86">
        <v>0</v>
      </c>
      <c r="F263" s="86">
        <v>4</v>
      </c>
      <c r="G263" s="86">
        <v>0</v>
      </c>
      <c r="H263" s="86">
        <v>0</v>
      </c>
      <c r="I263" s="86">
        <v>0</v>
      </c>
      <c r="J263" s="86">
        <v>2</v>
      </c>
      <c r="K263" s="86">
        <v>6</v>
      </c>
    </row>
    <row r="264" spans="1:11" x14ac:dyDescent="0.45">
      <c r="A264" s="90" t="s">
        <v>10</v>
      </c>
      <c r="B264" s="86">
        <v>0</v>
      </c>
      <c r="C264" s="86">
        <v>0</v>
      </c>
      <c r="D264" s="86">
        <v>0</v>
      </c>
      <c r="E264" s="86">
        <v>0</v>
      </c>
      <c r="F264" s="86">
        <v>325</v>
      </c>
      <c r="G264" s="86">
        <v>27</v>
      </c>
      <c r="H264" s="86">
        <v>0</v>
      </c>
      <c r="I264" s="86">
        <v>0</v>
      </c>
      <c r="J264" s="86">
        <v>0</v>
      </c>
      <c r="K264" s="86">
        <v>352</v>
      </c>
    </row>
    <row r="265" spans="1:11" x14ac:dyDescent="0.45">
      <c r="A265" s="90" t="s">
        <v>11</v>
      </c>
      <c r="B265" s="86">
        <v>0</v>
      </c>
      <c r="C265" s="86">
        <v>0</v>
      </c>
      <c r="D265" s="86">
        <v>1</v>
      </c>
      <c r="E265" s="86">
        <v>100</v>
      </c>
      <c r="F265" s="86">
        <v>301</v>
      </c>
      <c r="G265" s="86">
        <v>1251</v>
      </c>
      <c r="H265" s="86">
        <v>594</v>
      </c>
      <c r="I265" s="86">
        <v>20</v>
      </c>
      <c r="J265" s="86">
        <v>0</v>
      </c>
      <c r="K265" s="86">
        <v>2267</v>
      </c>
    </row>
    <row r="266" spans="1:11" x14ac:dyDescent="0.45">
      <c r="A266" s="90" t="s">
        <v>12</v>
      </c>
      <c r="B266" s="86">
        <v>0</v>
      </c>
      <c r="C266" s="86">
        <v>0</v>
      </c>
      <c r="D266" s="86">
        <v>0</v>
      </c>
      <c r="E266" s="86">
        <v>45</v>
      </c>
      <c r="F266" s="86">
        <v>3</v>
      </c>
      <c r="G266" s="86">
        <v>28</v>
      </c>
      <c r="H266" s="86">
        <v>86</v>
      </c>
      <c r="I266" s="86">
        <v>0</v>
      </c>
      <c r="J266" s="86">
        <v>6</v>
      </c>
      <c r="K266" s="86">
        <v>168</v>
      </c>
    </row>
    <row r="267" spans="1:11" x14ac:dyDescent="0.45">
      <c r="A267" s="90" t="s">
        <v>32</v>
      </c>
      <c r="B267" s="86">
        <v>0</v>
      </c>
      <c r="C267" s="86">
        <v>0</v>
      </c>
      <c r="D267" s="86">
        <v>0</v>
      </c>
      <c r="E267" s="86">
        <v>2</v>
      </c>
      <c r="F267" s="86">
        <v>0</v>
      </c>
      <c r="G267" s="86">
        <v>0</v>
      </c>
      <c r="H267" s="86">
        <v>27</v>
      </c>
      <c r="I267" s="86">
        <v>4</v>
      </c>
      <c r="J267" s="86">
        <v>0</v>
      </c>
      <c r="K267" s="86">
        <v>33</v>
      </c>
    </row>
    <row r="268" spans="1:11" x14ac:dyDescent="0.45">
      <c r="A268" s="90" t="s">
        <v>18</v>
      </c>
      <c r="B268" s="86">
        <v>0</v>
      </c>
      <c r="C268" s="86">
        <v>0</v>
      </c>
      <c r="D268" s="86">
        <v>0</v>
      </c>
      <c r="E268" s="86">
        <v>10</v>
      </c>
      <c r="F268" s="86">
        <v>94</v>
      </c>
      <c r="G268" s="86">
        <v>30</v>
      </c>
      <c r="H268" s="86">
        <v>166</v>
      </c>
      <c r="I268" s="86">
        <v>6</v>
      </c>
      <c r="J268" s="86">
        <v>0</v>
      </c>
      <c r="K268" s="86">
        <v>306</v>
      </c>
    </row>
    <row r="269" spans="1:11" x14ac:dyDescent="0.45">
      <c r="A269" s="90" t="s">
        <v>46</v>
      </c>
      <c r="B269" s="86">
        <v>0</v>
      </c>
      <c r="C269" s="86">
        <v>0</v>
      </c>
      <c r="D269" s="86">
        <v>0</v>
      </c>
      <c r="E269" s="86">
        <v>0</v>
      </c>
      <c r="F269" s="86">
        <v>0</v>
      </c>
      <c r="G269" s="86">
        <v>0</v>
      </c>
      <c r="H269" s="86">
        <v>0</v>
      </c>
      <c r="I269" s="86">
        <v>0</v>
      </c>
      <c r="J269" s="86">
        <v>0</v>
      </c>
      <c r="K269" s="86">
        <v>0</v>
      </c>
    </row>
    <row r="270" spans="1:11" x14ac:dyDescent="0.45">
      <c r="A270" s="90" t="s">
        <v>13</v>
      </c>
      <c r="B270" s="86">
        <v>0</v>
      </c>
      <c r="C270" s="86">
        <v>0</v>
      </c>
      <c r="D270" s="86">
        <v>0</v>
      </c>
      <c r="E270" s="86">
        <v>0</v>
      </c>
      <c r="F270" s="86">
        <v>0</v>
      </c>
      <c r="G270" s="86">
        <v>6</v>
      </c>
      <c r="H270" s="86">
        <v>5</v>
      </c>
      <c r="I270" s="86">
        <v>0</v>
      </c>
      <c r="J270" s="86">
        <v>0</v>
      </c>
      <c r="K270" s="86">
        <v>11</v>
      </c>
    </row>
    <row r="271" spans="1:11" x14ac:dyDescent="0.45">
      <c r="A271" s="90" t="s">
        <v>14</v>
      </c>
      <c r="B271" s="86">
        <v>0</v>
      </c>
      <c r="C271" s="86">
        <v>0</v>
      </c>
      <c r="D271" s="86">
        <v>15</v>
      </c>
      <c r="E271" s="86">
        <v>75</v>
      </c>
      <c r="F271" s="86">
        <v>122</v>
      </c>
      <c r="G271" s="86">
        <v>404</v>
      </c>
      <c r="H271" s="86">
        <v>204</v>
      </c>
      <c r="I271" s="86">
        <v>5</v>
      </c>
      <c r="J271" s="86">
        <v>1</v>
      </c>
      <c r="K271" s="86">
        <f>SUM(B271:J271)</f>
        <v>826</v>
      </c>
    </row>
    <row r="272" spans="1:11" x14ac:dyDescent="0.45">
      <c r="A272" s="90" t="s">
        <v>40</v>
      </c>
      <c r="B272" s="86">
        <v>0</v>
      </c>
      <c r="C272" s="86">
        <v>4</v>
      </c>
      <c r="D272" s="86">
        <v>0</v>
      </c>
      <c r="E272" s="86">
        <v>2</v>
      </c>
      <c r="F272" s="86">
        <v>0</v>
      </c>
      <c r="G272" s="86">
        <v>0</v>
      </c>
      <c r="H272" s="86">
        <v>0</v>
      </c>
      <c r="I272" s="86">
        <v>0</v>
      </c>
      <c r="J272" s="86">
        <v>0</v>
      </c>
      <c r="K272" s="86">
        <v>6</v>
      </c>
    </row>
    <row r="273" spans="1:12" x14ac:dyDescent="0.45">
      <c r="A273" s="90" t="s">
        <v>52</v>
      </c>
      <c r="B273" s="86">
        <v>0</v>
      </c>
      <c r="C273" s="86">
        <v>0</v>
      </c>
      <c r="D273" s="86">
        <v>0</v>
      </c>
      <c r="E273" s="86">
        <v>0</v>
      </c>
      <c r="F273" s="86">
        <v>0</v>
      </c>
      <c r="G273" s="86">
        <v>0</v>
      </c>
      <c r="H273" s="86">
        <v>0</v>
      </c>
      <c r="I273" s="86">
        <v>0</v>
      </c>
      <c r="J273" s="86">
        <v>0</v>
      </c>
      <c r="K273" s="86">
        <v>0</v>
      </c>
    </row>
    <row r="274" spans="1:12" x14ac:dyDescent="0.45">
      <c r="A274" s="90" t="s">
        <v>53</v>
      </c>
      <c r="B274" s="86">
        <v>0</v>
      </c>
      <c r="C274" s="86">
        <v>0</v>
      </c>
      <c r="D274" s="86">
        <v>0</v>
      </c>
      <c r="E274" s="86">
        <v>0</v>
      </c>
      <c r="F274" s="86">
        <v>0</v>
      </c>
      <c r="G274" s="86">
        <v>0</v>
      </c>
      <c r="H274" s="86">
        <v>0</v>
      </c>
      <c r="I274" s="86">
        <v>1</v>
      </c>
      <c r="J274" s="86">
        <v>0</v>
      </c>
      <c r="K274" s="86">
        <v>1</v>
      </c>
    </row>
    <row r="275" spans="1:12" x14ac:dyDescent="0.45">
      <c r="A275" s="90" t="s">
        <v>15</v>
      </c>
      <c r="B275" s="86">
        <v>0</v>
      </c>
      <c r="C275" s="86">
        <v>0</v>
      </c>
      <c r="D275" s="86">
        <v>0</v>
      </c>
      <c r="E275" s="86">
        <v>0</v>
      </c>
      <c r="F275" s="86">
        <v>0</v>
      </c>
      <c r="G275" s="86">
        <v>0</v>
      </c>
      <c r="H275" s="86">
        <v>0</v>
      </c>
      <c r="I275" s="86">
        <v>0</v>
      </c>
      <c r="J275" s="86">
        <v>0</v>
      </c>
      <c r="K275" s="86">
        <v>0</v>
      </c>
    </row>
    <row r="276" spans="1:12" x14ac:dyDescent="0.45">
      <c r="A276" s="90" t="s">
        <v>54</v>
      </c>
      <c r="B276" s="86">
        <v>0</v>
      </c>
      <c r="C276" s="86">
        <v>0</v>
      </c>
      <c r="D276" s="86">
        <v>0</v>
      </c>
      <c r="E276" s="86">
        <v>0</v>
      </c>
      <c r="F276" s="86">
        <v>0</v>
      </c>
      <c r="G276" s="86">
        <v>0</v>
      </c>
      <c r="H276" s="86">
        <v>0</v>
      </c>
      <c r="I276" s="86">
        <v>0</v>
      </c>
      <c r="J276" s="86">
        <v>0</v>
      </c>
      <c r="K276" s="86">
        <v>0</v>
      </c>
    </row>
    <row r="277" spans="1:12" x14ac:dyDescent="0.45">
      <c r="A277" s="90" t="s">
        <v>47</v>
      </c>
      <c r="B277" s="86">
        <v>0</v>
      </c>
      <c r="C277" s="86">
        <v>0</v>
      </c>
      <c r="D277" s="86">
        <v>0</v>
      </c>
      <c r="E277" s="86">
        <v>4</v>
      </c>
      <c r="F277" s="86">
        <v>1</v>
      </c>
      <c r="G277" s="86">
        <v>17</v>
      </c>
      <c r="H277" s="86">
        <v>37</v>
      </c>
      <c r="I277" s="86">
        <v>6</v>
      </c>
      <c r="J277" s="86">
        <v>0</v>
      </c>
      <c r="K277" s="86">
        <v>65</v>
      </c>
    </row>
    <row r="278" spans="1:12" x14ac:dyDescent="0.45">
      <c r="A278" s="90" t="s">
        <v>16</v>
      </c>
      <c r="B278" s="86">
        <v>0</v>
      </c>
      <c r="C278" s="86">
        <v>0</v>
      </c>
      <c r="D278" s="86">
        <v>0</v>
      </c>
      <c r="E278" s="86">
        <v>0</v>
      </c>
      <c r="F278" s="86">
        <v>0</v>
      </c>
      <c r="G278" s="86">
        <v>0</v>
      </c>
      <c r="H278" s="86">
        <v>0</v>
      </c>
      <c r="I278" s="86">
        <v>0</v>
      </c>
      <c r="J278" s="86">
        <v>0</v>
      </c>
      <c r="K278" s="86">
        <v>0</v>
      </c>
    </row>
    <row r="279" spans="1:12" x14ac:dyDescent="0.45">
      <c r="A279" s="90" t="s">
        <v>55</v>
      </c>
      <c r="B279" s="86">
        <v>0</v>
      </c>
      <c r="C279" s="86">
        <v>0</v>
      </c>
      <c r="D279" s="86">
        <v>0</v>
      </c>
      <c r="E279" s="86">
        <v>0</v>
      </c>
      <c r="F279" s="86">
        <v>0</v>
      </c>
      <c r="G279" s="86">
        <v>0</v>
      </c>
      <c r="H279" s="86">
        <v>0</v>
      </c>
      <c r="I279" s="86">
        <v>0</v>
      </c>
      <c r="J279" s="86">
        <v>0</v>
      </c>
      <c r="K279" s="86">
        <v>0</v>
      </c>
    </row>
    <row r="280" spans="1:12" x14ac:dyDescent="0.45">
      <c r="A280" s="34" t="s">
        <v>17</v>
      </c>
      <c r="B280" s="99">
        <v>0</v>
      </c>
      <c r="C280" s="99">
        <v>0</v>
      </c>
      <c r="D280" s="99">
        <v>0</v>
      </c>
      <c r="E280" s="99">
        <v>0</v>
      </c>
      <c r="F280" s="99">
        <v>1500</v>
      </c>
      <c r="G280" s="99">
        <v>1</v>
      </c>
      <c r="H280" s="99">
        <v>0</v>
      </c>
      <c r="I280" s="99">
        <v>1</v>
      </c>
      <c r="J280" s="99">
        <v>1</v>
      </c>
      <c r="K280" s="99">
        <v>1503</v>
      </c>
    </row>
    <row r="281" spans="1:12" x14ac:dyDescent="0.45">
      <c r="A281" s="95" t="s">
        <v>24</v>
      </c>
      <c r="B281" s="86">
        <v>1</v>
      </c>
      <c r="C281" s="86">
        <v>16</v>
      </c>
      <c r="D281" s="86">
        <v>52</v>
      </c>
      <c r="E281" s="86">
        <v>522</v>
      </c>
      <c r="F281" s="86">
        <v>3681</v>
      </c>
      <c r="G281" s="86">
        <v>2525</v>
      </c>
      <c r="H281" s="86">
        <v>1295</v>
      </c>
      <c r="I281" s="86">
        <v>160</v>
      </c>
      <c r="J281" s="86">
        <v>59</v>
      </c>
      <c r="K281" s="86">
        <f>SUM(K246:K280)</f>
        <v>8287</v>
      </c>
      <c r="L281" s="17"/>
    </row>
    <row r="284" spans="1:12" x14ac:dyDescent="0.45">
      <c r="A284" s="94" t="s">
        <v>179</v>
      </c>
      <c r="B284" s="1" t="s">
        <v>20</v>
      </c>
      <c r="E284" s="1" t="s">
        <v>21</v>
      </c>
    </row>
    <row r="285" spans="1:12" x14ac:dyDescent="0.45">
      <c r="A285" s="108" t="s">
        <v>19</v>
      </c>
      <c r="B285" s="127">
        <v>16</v>
      </c>
      <c r="C285" s="128">
        <v>21</v>
      </c>
      <c r="D285" s="128">
        <v>26</v>
      </c>
      <c r="E285" s="128">
        <v>1</v>
      </c>
      <c r="F285" s="128">
        <v>6</v>
      </c>
      <c r="G285" s="128">
        <v>11</v>
      </c>
      <c r="H285" s="128">
        <v>16</v>
      </c>
      <c r="I285" s="128">
        <v>21</v>
      </c>
      <c r="J285" s="128">
        <v>26</v>
      </c>
      <c r="K285" s="97" t="s">
        <v>24</v>
      </c>
    </row>
    <row r="286" spans="1:12" x14ac:dyDescent="0.45">
      <c r="A286" s="162" t="s">
        <v>1</v>
      </c>
      <c r="B286" s="86">
        <v>0</v>
      </c>
      <c r="C286" s="86">
        <v>0</v>
      </c>
      <c r="D286" s="86">
        <v>4</v>
      </c>
      <c r="E286" s="86">
        <v>18</v>
      </c>
      <c r="F286" s="86">
        <v>48</v>
      </c>
      <c r="G286" s="86">
        <v>47</v>
      </c>
      <c r="H286" s="86">
        <v>59</v>
      </c>
      <c r="I286" s="86">
        <v>38</v>
      </c>
      <c r="J286" s="86">
        <v>56</v>
      </c>
      <c r="K286" s="86">
        <v>270</v>
      </c>
    </row>
    <row r="287" spans="1:12" x14ac:dyDescent="0.45">
      <c r="A287" s="90" t="s">
        <v>49</v>
      </c>
      <c r="B287" s="86">
        <v>0</v>
      </c>
      <c r="C287" s="86">
        <v>0</v>
      </c>
      <c r="D287" s="86">
        <v>0</v>
      </c>
      <c r="E287" s="86">
        <v>0</v>
      </c>
      <c r="F287" s="86">
        <v>0</v>
      </c>
      <c r="G287" s="86">
        <v>0</v>
      </c>
      <c r="H287" s="86">
        <v>0</v>
      </c>
      <c r="I287" s="86">
        <v>0</v>
      </c>
      <c r="J287" s="86">
        <v>0</v>
      </c>
      <c r="K287" s="86">
        <v>0</v>
      </c>
    </row>
    <row r="288" spans="1:12" x14ac:dyDescent="0.45">
      <c r="A288" s="90" t="s">
        <v>45</v>
      </c>
      <c r="B288" s="86">
        <v>0</v>
      </c>
      <c r="C288" s="86">
        <v>0</v>
      </c>
      <c r="D288" s="86">
        <v>0</v>
      </c>
      <c r="E288" s="86">
        <v>0</v>
      </c>
      <c r="F288" s="86">
        <v>0</v>
      </c>
      <c r="G288" s="86">
        <v>0</v>
      </c>
      <c r="H288" s="86">
        <v>0</v>
      </c>
      <c r="I288" s="86">
        <v>0</v>
      </c>
      <c r="J288" s="86">
        <v>0</v>
      </c>
      <c r="K288" s="86">
        <v>0</v>
      </c>
    </row>
    <row r="289" spans="1:11" x14ac:dyDescent="0.45">
      <c r="A289" s="90" t="s">
        <v>41</v>
      </c>
      <c r="B289" s="86">
        <v>0</v>
      </c>
      <c r="C289" s="86">
        <v>0</v>
      </c>
      <c r="D289" s="86">
        <v>12</v>
      </c>
      <c r="E289" s="86">
        <v>1</v>
      </c>
      <c r="F289" s="86">
        <v>7</v>
      </c>
      <c r="G289" s="86">
        <v>2</v>
      </c>
      <c r="H289" s="86">
        <v>0</v>
      </c>
      <c r="I289" s="86">
        <v>1</v>
      </c>
      <c r="J289" s="86">
        <v>0</v>
      </c>
      <c r="K289" s="86">
        <v>23</v>
      </c>
    </row>
    <row r="290" spans="1:11" x14ac:dyDescent="0.45">
      <c r="A290" s="90" t="s">
        <v>2</v>
      </c>
      <c r="B290" s="86">
        <v>12</v>
      </c>
      <c r="C290" s="86">
        <v>13</v>
      </c>
      <c r="D290" s="86">
        <v>19</v>
      </c>
      <c r="E290" s="86">
        <v>26</v>
      </c>
      <c r="F290" s="86">
        <v>24</v>
      </c>
      <c r="G290" s="86">
        <v>7</v>
      </c>
      <c r="H290" s="86">
        <v>4</v>
      </c>
      <c r="I290" s="86">
        <v>2</v>
      </c>
      <c r="J290" s="86">
        <v>0</v>
      </c>
      <c r="K290" s="86">
        <v>107</v>
      </c>
    </row>
    <row r="291" spans="1:11" x14ac:dyDescent="0.45">
      <c r="A291" s="90" t="s">
        <v>43</v>
      </c>
      <c r="B291" s="86">
        <v>0</v>
      </c>
      <c r="C291" s="86">
        <v>2</v>
      </c>
      <c r="D291" s="86">
        <v>0</v>
      </c>
      <c r="E291" s="86">
        <v>4</v>
      </c>
      <c r="F291" s="86">
        <v>3</v>
      </c>
      <c r="G291" s="86">
        <v>3</v>
      </c>
      <c r="H291" s="86">
        <v>3</v>
      </c>
      <c r="I291" s="86">
        <v>0</v>
      </c>
      <c r="J291" s="86">
        <v>0</v>
      </c>
      <c r="K291" s="86">
        <v>15</v>
      </c>
    </row>
    <row r="292" spans="1:11" x14ac:dyDescent="0.45">
      <c r="A292" s="90" t="s">
        <v>3</v>
      </c>
      <c r="B292" s="86">
        <v>1</v>
      </c>
      <c r="C292" s="86">
        <v>5</v>
      </c>
      <c r="D292" s="86">
        <v>6</v>
      </c>
      <c r="E292" s="86">
        <v>13</v>
      </c>
      <c r="F292" s="86">
        <v>5</v>
      </c>
      <c r="G292" s="86">
        <v>11</v>
      </c>
      <c r="H292" s="86">
        <v>0</v>
      </c>
      <c r="I292" s="86">
        <v>2</v>
      </c>
      <c r="J292" s="86">
        <v>1</v>
      </c>
      <c r="K292" s="86">
        <v>44</v>
      </c>
    </row>
    <row r="293" spans="1:11" x14ac:dyDescent="0.45">
      <c r="A293" s="90" t="s">
        <v>4</v>
      </c>
      <c r="B293" s="86">
        <v>0</v>
      </c>
      <c r="C293" s="86">
        <v>0</v>
      </c>
      <c r="D293" s="86">
        <v>1</v>
      </c>
      <c r="E293" s="86">
        <v>0</v>
      </c>
      <c r="F293" s="86">
        <v>0</v>
      </c>
      <c r="G293" s="86">
        <v>0</v>
      </c>
      <c r="H293" s="86">
        <v>0</v>
      </c>
      <c r="I293" s="86">
        <v>0</v>
      </c>
      <c r="J293" s="86">
        <v>0</v>
      </c>
      <c r="K293" s="86">
        <v>1</v>
      </c>
    </row>
    <row r="294" spans="1:11" x14ac:dyDescent="0.45">
      <c r="A294" s="90" t="s">
        <v>48</v>
      </c>
      <c r="B294" s="86">
        <v>0</v>
      </c>
      <c r="C294" s="86">
        <v>0</v>
      </c>
      <c r="D294" s="86">
        <v>0</v>
      </c>
      <c r="E294" s="86">
        <v>0</v>
      </c>
      <c r="F294" s="86">
        <v>0</v>
      </c>
      <c r="G294" s="86">
        <v>0</v>
      </c>
      <c r="H294" s="86">
        <v>0</v>
      </c>
      <c r="I294" s="86">
        <v>0</v>
      </c>
      <c r="J294" s="86">
        <v>0</v>
      </c>
      <c r="K294" s="86">
        <v>0</v>
      </c>
    </row>
    <row r="295" spans="1:11" x14ac:dyDescent="0.45">
      <c r="A295" s="90" t="s">
        <v>6</v>
      </c>
      <c r="B295" s="86">
        <v>0</v>
      </c>
      <c r="C295" s="86">
        <v>0</v>
      </c>
      <c r="D295" s="86">
        <v>0</v>
      </c>
      <c r="E295" s="86">
        <v>0</v>
      </c>
      <c r="F295" s="86">
        <v>0</v>
      </c>
      <c r="G295" s="86">
        <v>0</v>
      </c>
      <c r="H295" s="86">
        <v>0</v>
      </c>
      <c r="I295" s="86">
        <v>0</v>
      </c>
      <c r="J295" s="86">
        <v>1</v>
      </c>
      <c r="K295" s="86">
        <v>1</v>
      </c>
    </row>
    <row r="296" spans="1:11" x14ac:dyDescent="0.45">
      <c r="A296" s="90" t="s">
        <v>7</v>
      </c>
      <c r="B296" s="86">
        <v>0</v>
      </c>
      <c r="C296" s="86">
        <v>0</v>
      </c>
      <c r="D296" s="86">
        <v>0</v>
      </c>
      <c r="E296" s="86">
        <v>0</v>
      </c>
      <c r="F296" s="86">
        <v>0</v>
      </c>
      <c r="G296" s="86">
        <v>4</v>
      </c>
      <c r="H296" s="86">
        <v>17</v>
      </c>
      <c r="I296" s="86">
        <v>20</v>
      </c>
      <c r="J296" s="86">
        <v>2</v>
      </c>
      <c r="K296" s="86">
        <v>43</v>
      </c>
    </row>
    <row r="297" spans="1:11" x14ac:dyDescent="0.45">
      <c r="A297" s="90" t="s">
        <v>83</v>
      </c>
      <c r="B297" s="86">
        <v>0</v>
      </c>
      <c r="C297" s="86">
        <v>0</v>
      </c>
      <c r="D297" s="86">
        <v>0</v>
      </c>
      <c r="E297" s="86">
        <v>0</v>
      </c>
      <c r="F297" s="86">
        <v>0</v>
      </c>
      <c r="G297" s="86">
        <v>0</v>
      </c>
      <c r="H297" s="86">
        <v>0</v>
      </c>
      <c r="I297" s="86">
        <v>0</v>
      </c>
      <c r="J297" s="86">
        <v>0</v>
      </c>
      <c r="K297" s="86">
        <v>0</v>
      </c>
    </row>
    <row r="298" spans="1:11" x14ac:dyDescent="0.45">
      <c r="A298" s="90" t="s">
        <v>50</v>
      </c>
      <c r="B298" s="86">
        <v>0</v>
      </c>
      <c r="C298" s="86">
        <v>0</v>
      </c>
      <c r="D298" s="86">
        <v>0</v>
      </c>
      <c r="E298" s="86">
        <v>0</v>
      </c>
      <c r="F298" s="86">
        <v>1</v>
      </c>
      <c r="G298" s="86">
        <v>0</v>
      </c>
      <c r="H298" s="86">
        <v>0</v>
      </c>
      <c r="I298" s="86">
        <v>0</v>
      </c>
      <c r="J298" s="86">
        <v>0</v>
      </c>
      <c r="K298" s="86">
        <v>1</v>
      </c>
    </row>
    <row r="299" spans="1:11" x14ac:dyDescent="0.45">
      <c r="A299" s="90" t="s">
        <v>51</v>
      </c>
      <c r="B299" s="86">
        <v>0</v>
      </c>
      <c r="C299" s="86">
        <v>0</v>
      </c>
      <c r="D299" s="86">
        <v>0</v>
      </c>
      <c r="E299" s="86">
        <v>0</v>
      </c>
      <c r="F299" s="86">
        <v>0</v>
      </c>
      <c r="G299" s="86">
        <v>0</v>
      </c>
      <c r="H299" s="86">
        <v>0</v>
      </c>
      <c r="I299" s="86">
        <v>0</v>
      </c>
      <c r="J299" s="86">
        <v>0</v>
      </c>
      <c r="K299" s="86">
        <v>0</v>
      </c>
    </row>
    <row r="300" spans="1:11" x14ac:dyDescent="0.45">
      <c r="A300" s="90" t="s">
        <v>42</v>
      </c>
      <c r="B300" s="86">
        <v>0</v>
      </c>
      <c r="C300" s="86">
        <v>0</v>
      </c>
      <c r="D300" s="86">
        <v>0</v>
      </c>
      <c r="E300" s="86">
        <v>0</v>
      </c>
      <c r="F300" s="86">
        <v>1</v>
      </c>
      <c r="G300" s="86">
        <v>1</v>
      </c>
      <c r="H300" s="86">
        <v>0</v>
      </c>
      <c r="I300" s="86">
        <v>0</v>
      </c>
      <c r="J300" s="86">
        <v>3</v>
      </c>
      <c r="K300" s="86">
        <v>5</v>
      </c>
    </row>
    <row r="301" spans="1:11" x14ac:dyDescent="0.45">
      <c r="A301" s="90" t="s">
        <v>8</v>
      </c>
      <c r="B301" s="86">
        <v>0</v>
      </c>
      <c r="C301" s="86">
        <v>0</v>
      </c>
      <c r="D301" s="86">
        <v>0</v>
      </c>
      <c r="E301" s="86">
        <v>0</v>
      </c>
      <c r="F301" s="86">
        <v>20</v>
      </c>
      <c r="G301" s="86">
        <v>1</v>
      </c>
      <c r="H301" s="86">
        <v>30</v>
      </c>
      <c r="I301" s="86">
        <v>0</v>
      </c>
      <c r="J301" s="86">
        <v>7</v>
      </c>
      <c r="K301" s="86">
        <v>58</v>
      </c>
    </row>
    <row r="302" spans="1:11" x14ac:dyDescent="0.45">
      <c r="A302" s="90" t="s">
        <v>9</v>
      </c>
      <c r="B302" s="86">
        <v>0</v>
      </c>
      <c r="C302" s="86">
        <v>12</v>
      </c>
      <c r="D302" s="86">
        <v>232</v>
      </c>
      <c r="E302" s="86">
        <v>110</v>
      </c>
      <c r="F302" s="86">
        <v>588</v>
      </c>
      <c r="G302" s="86">
        <v>265</v>
      </c>
      <c r="H302" s="86">
        <v>73</v>
      </c>
      <c r="I302" s="86">
        <v>55</v>
      </c>
      <c r="J302" s="86">
        <v>0</v>
      </c>
      <c r="K302" s="86">
        <v>1335</v>
      </c>
    </row>
    <row r="303" spans="1:11" x14ac:dyDescent="0.45">
      <c r="A303" s="90" t="s">
        <v>44</v>
      </c>
      <c r="B303" s="86">
        <v>0</v>
      </c>
      <c r="C303" s="86">
        <v>0</v>
      </c>
      <c r="D303" s="86">
        <v>0</v>
      </c>
      <c r="E303" s="86">
        <v>4</v>
      </c>
      <c r="F303" s="86">
        <v>5</v>
      </c>
      <c r="G303" s="86">
        <v>0</v>
      </c>
      <c r="H303" s="86">
        <v>0</v>
      </c>
      <c r="I303" s="86">
        <v>0</v>
      </c>
      <c r="J303" s="86">
        <v>0</v>
      </c>
      <c r="K303" s="86">
        <v>9</v>
      </c>
    </row>
    <row r="304" spans="1:11" x14ac:dyDescent="0.45">
      <c r="A304" s="90" t="s">
        <v>10</v>
      </c>
      <c r="B304" s="86">
        <v>0</v>
      </c>
      <c r="C304" s="86">
        <v>0</v>
      </c>
      <c r="D304" s="86">
        <v>15</v>
      </c>
      <c r="E304" s="86">
        <v>17</v>
      </c>
      <c r="F304" s="86">
        <v>15</v>
      </c>
      <c r="G304" s="86">
        <v>5</v>
      </c>
      <c r="H304" s="86">
        <v>3</v>
      </c>
      <c r="I304" s="86">
        <v>0</v>
      </c>
      <c r="J304" s="86">
        <v>0</v>
      </c>
      <c r="K304" s="86">
        <v>55</v>
      </c>
    </row>
    <row r="305" spans="1:11" x14ac:dyDescent="0.45">
      <c r="A305" s="90" t="s">
        <v>11</v>
      </c>
      <c r="B305" s="86">
        <v>0</v>
      </c>
      <c r="C305" s="86">
        <v>0</v>
      </c>
      <c r="D305" s="86">
        <v>72</v>
      </c>
      <c r="E305" s="86">
        <v>439</v>
      </c>
      <c r="F305" s="86">
        <v>420</v>
      </c>
      <c r="G305" s="86">
        <v>203</v>
      </c>
      <c r="H305" s="86">
        <v>131</v>
      </c>
      <c r="I305" s="86">
        <v>125</v>
      </c>
      <c r="J305" s="86">
        <v>13</v>
      </c>
      <c r="K305" s="86">
        <v>1403</v>
      </c>
    </row>
    <row r="306" spans="1:11" x14ac:dyDescent="0.45">
      <c r="A306" s="90" t="s">
        <v>12</v>
      </c>
      <c r="B306" s="86">
        <v>0</v>
      </c>
      <c r="C306" s="86">
        <v>0</v>
      </c>
      <c r="D306" s="86">
        <v>16</v>
      </c>
      <c r="E306" s="86">
        <v>164</v>
      </c>
      <c r="F306" s="86">
        <v>20</v>
      </c>
      <c r="G306" s="86">
        <v>35</v>
      </c>
      <c r="H306" s="86">
        <v>8</v>
      </c>
      <c r="I306" s="86">
        <v>2</v>
      </c>
      <c r="J306" s="86">
        <v>0</v>
      </c>
      <c r="K306" s="86">
        <v>245</v>
      </c>
    </row>
    <row r="307" spans="1:11" x14ac:dyDescent="0.45">
      <c r="A307" s="90" t="s">
        <v>32</v>
      </c>
      <c r="B307" s="86">
        <v>0</v>
      </c>
      <c r="C307" s="86">
        <v>0</v>
      </c>
      <c r="D307" s="86">
        <v>0</v>
      </c>
      <c r="E307" s="86">
        <v>0</v>
      </c>
      <c r="F307" s="86">
        <v>0</v>
      </c>
      <c r="G307" s="86">
        <v>0</v>
      </c>
      <c r="H307" s="86">
        <v>0</v>
      </c>
      <c r="I307" s="86">
        <v>1</v>
      </c>
      <c r="J307" s="86">
        <v>2</v>
      </c>
      <c r="K307" s="86">
        <v>3</v>
      </c>
    </row>
    <row r="308" spans="1:11" x14ac:dyDescent="0.45">
      <c r="A308" s="90" t="s">
        <v>18</v>
      </c>
      <c r="B308" s="86">
        <v>0</v>
      </c>
      <c r="C308" s="86">
        <v>0</v>
      </c>
      <c r="D308" s="86">
        <v>0</v>
      </c>
      <c r="E308" s="86">
        <v>30</v>
      </c>
      <c r="F308" s="86">
        <v>6170</v>
      </c>
      <c r="G308" s="86">
        <v>54</v>
      </c>
      <c r="H308" s="86">
        <v>1</v>
      </c>
      <c r="I308" s="86">
        <v>4</v>
      </c>
      <c r="J308" s="86">
        <v>10</v>
      </c>
      <c r="K308" s="86">
        <v>6269</v>
      </c>
    </row>
    <row r="309" spans="1:11" x14ac:dyDescent="0.45">
      <c r="A309" s="90" t="s">
        <v>46</v>
      </c>
      <c r="B309" s="86">
        <v>0</v>
      </c>
      <c r="C309" s="86">
        <v>0</v>
      </c>
      <c r="D309" s="86">
        <v>0</v>
      </c>
      <c r="E309" s="86">
        <v>0</v>
      </c>
      <c r="F309" s="86">
        <v>0</v>
      </c>
      <c r="G309" s="86">
        <v>0</v>
      </c>
      <c r="H309" s="86">
        <v>0</v>
      </c>
      <c r="I309" s="86">
        <v>0</v>
      </c>
      <c r="J309" s="86">
        <v>0</v>
      </c>
      <c r="K309" s="86">
        <v>0</v>
      </c>
    </row>
    <row r="310" spans="1:11" x14ac:dyDescent="0.45">
      <c r="A310" s="90" t="s">
        <v>13</v>
      </c>
      <c r="B310" s="86">
        <v>0</v>
      </c>
      <c r="C310" s="86">
        <v>0</v>
      </c>
      <c r="D310" s="86">
        <v>0</v>
      </c>
      <c r="E310" s="86">
        <v>0</v>
      </c>
      <c r="F310" s="86">
        <v>0</v>
      </c>
      <c r="G310" s="86">
        <v>0</v>
      </c>
      <c r="H310" s="86">
        <v>0</v>
      </c>
      <c r="I310" s="86">
        <v>0</v>
      </c>
      <c r="J310" s="86">
        <v>0</v>
      </c>
      <c r="K310" s="86">
        <v>0</v>
      </c>
    </row>
    <row r="311" spans="1:11" x14ac:dyDescent="0.45">
      <c r="A311" s="90" t="s">
        <v>14</v>
      </c>
      <c r="B311" s="86">
        <v>0</v>
      </c>
      <c r="C311" s="86">
        <v>0</v>
      </c>
      <c r="D311" s="86">
        <v>107</v>
      </c>
      <c r="E311" s="86">
        <v>30</v>
      </c>
      <c r="F311" s="86">
        <v>306</v>
      </c>
      <c r="G311" s="86">
        <v>7</v>
      </c>
      <c r="H311" s="86">
        <v>4</v>
      </c>
      <c r="I311" s="86">
        <v>54</v>
      </c>
      <c r="J311" s="86">
        <v>0</v>
      </c>
      <c r="K311" s="86">
        <v>508</v>
      </c>
    </row>
    <row r="312" spans="1:11" x14ac:dyDescent="0.45">
      <c r="A312" s="90" t="s">
        <v>40</v>
      </c>
      <c r="B312" s="86">
        <v>1</v>
      </c>
      <c r="C312" s="86">
        <v>2</v>
      </c>
      <c r="D312" s="86">
        <v>0</v>
      </c>
      <c r="E312" s="86">
        <v>0</v>
      </c>
      <c r="F312" s="86">
        <v>1</v>
      </c>
      <c r="G312" s="86">
        <v>0</v>
      </c>
      <c r="H312" s="86">
        <v>0</v>
      </c>
      <c r="I312" s="86">
        <v>0</v>
      </c>
      <c r="J312" s="86">
        <v>0</v>
      </c>
      <c r="K312" s="86">
        <v>4</v>
      </c>
    </row>
    <row r="313" spans="1:11" x14ac:dyDescent="0.45">
      <c r="A313" s="90" t="s">
        <v>52</v>
      </c>
      <c r="B313" s="86">
        <v>0</v>
      </c>
      <c r="C313" s="86">
        <v>0</v>
      </c>
      <c r="D313" s="86">
        <v>0</v>
      </c>
      <c r="E313" s="86">
        <v>1</v>
      </c>
      <c r="F313" s="86">
        <v>0</v>
      </c>
      <c r="G313" s="86">
        <v>0</v>
      </c>
      <c r="H313" s="86">
        <v>0</v>
      </c>
      <c r="I313" s="86">
        <v>0</v>
      </c>
      <c r="J313" s="86">
        <v>0</v>
      </c>
      <c r="K313" s="86">
        <v>1</v>
      </c>
    </row>
    <row r="314" spans="1:11" x14ac:dyDescent="0.45">
      <c r="A314" s="90" t="s">
        <v>53</v>
      </c>
      <c r="B314" s="86">
        <v>0</v>
      </c>
      <c r="C314" s="86">
        <v>0</v>
      </c>
      <c r="D314" s="86">
        <v>0</v>
      </c>
      <c r="E314" s="86">
        <v>0</v>
      </c>
      <c r="F314" s="86">
        <v>0</v>
      </c>
      <c r="G314" s="86">
        <v>0</v>
      </c>
      <c r="H314" s="86">
        <v>0</v>
      </c>
      <c r="I314" s="86">
        <v>0</v>
      </c>
      <c r="J314" s="86">
        <v>0</v>
      </c>
      <c r="K314" s="86">
        <v>0</v>
      </c>
    </row>
    <row r="315" spans="1:11" x14ac:dyDescent="0.45">
      <c r="A315" s="90" t="s">
        <v>15</v>
      </c>
      <c r="B315" s="86">
        <v>0</v>
      </c>
      <c r="C315" s="86">
        <v>0</v>
      </c>
      <c r="D315" s="86">
        <v>2</v>
      </c>
      <c r="E315" s="86">
        <v>2</v>
      </c>
      <c r="F315" s="86">
        <v>11</v>
      </c>
      <c r="G315" s="86">
        <v>0</v>
      </c>
      <c r="H315" s="86">
        <v>4</v>
      </c>
      <c r="I315" s="86">
        <v>1</v>
      </c>
      <c r="J315" s="86">
        <v>0</v>
      </c>
      <c r="K315" s="86">
        <v>20</v>
      </c>
    </row>
    <row r="316" spans="1:11" x14ac:dyDescent="0.45">
      <c r="A316" s="90" t="s">
        <v>54</v>
      </c>
      <c r="B316" s="86">
        <v>0</v>
      </c>
      <c r="C316" s="86">
        <v>0</v>
      </c>
      <c r="D316" s="86">
        <v>0</v>
      </c>
      <c r="E316" s="86">
        <v>0</v>
      </c>
      <c r="F316" s="86">
        <v>0</v>
      </c>
      <c r="G316" s="86">
        <v>0</v>
      </c>
      <c r="H316" s="86">
        <v>1</v>
      </c>
      <c r="I316" s="86">
        <v>0</v>
      </c>
      <c r="J316" s="86">
        <v>0</v>
      </c>
      <c r="K316" s="86">
        <v>1</v>
      </c>
    </row>
    <row r="317" spans="1:11" x14ac:dyDescent="0.45">
      <c r="A317" s="90" t="s">
        <v>47</v>
      </c>
      <c r="B317" s="86">
        <v>0</v>
      </c>
      <c r="C317" s="86">
        <v>0</v>
      </c>
      <c r="D317" s="86">
        <v>1</v>
      </c>
      <c r="E317" s="86">
        <v>3</v>
      </c>
      <c r="F317" s="86">
        <v>11</v>
      </c>
      <c r="G317" s="86">
        <v>0</v>
      </c>
      <c r="H317" s="86">
        <v>2</v>
      </c>
      <c r="I317" s="86">
        <v>0</v>
      </c>
      <c r="J317" s="86">
        <v>0</v>
      </c>
      <c r="K317" s="86">
        <v>17</v>
      </c>
    </row>
    <row r="318" spans="1:11" x14ac:dyDescent="0.45">
      <c r="A318" s="90" t="s">
        <v>16</v>
      </c>
      <c r="B318" s="86">
        <v>0</v>
      </c>
      <c r="C318" s="86">
        <v>0</v>
      </c>
      <c r="D318" s="86">
        <v>0</v>
      </c>
      <c r="E318" s="86">
        <v>0</v>
      </c>
      <c r="F318" s="86">
        <v>0</v>
      </c>
      <c r="G318" s="86">
        <v>0</v>
      </c>
      <c r="H318" s="86">
        <v>0</v>
      </c>
      <c r="I318" s="86">
        <v>0</v>
      </c>
      <c r="J318" s="86">
        <v>0</v>
      </c>
      <c r="K318" s="86">
        <v>0</v>
      </c>
    </row>
    <row r="319" spans="1:11" x14ac:dyDescent="0.45">
      <c r="A319" s="90" t="s">
        <v>55</v>
      </c>
      <c r="B319" s="86">
        <v>0</v>
      </c>
      <c r="C319" s="86">
        <v>0</v>
      </c>
      <c r="D319" s="86">
        <v>0</v>
      </c>
      <c r="E319" s="86">
        <v>0</v>
      </c>
      <c r="F319" s="86">
        <v>0</v>
      </c>
      <c r="G319" s="86">
        <v>0</v>
      </c>
      <c r="H319" s="86">
        <v>0</v>
      </c>
      <c r="I319" s="86">
        <v>0</v>
      </c>
      <c r="J319" s="86">
        <v>0</v>
      </c>
      <c r="K319" s="86">
        <v>0</v>
      </c>
    </row>
    <row r="320" spans="1:11" x14ac:dyDescent="0.45">
      <c r="A320" s="34" t="s">
        <v>17</v>
      </c>
      <c r="B320" s="99">
        <v>0</v>
      </c>
      <c r="C320" s="99">
        <v>0</v>
      </c>
      <c r="D320" s="99">
        <v>0</v>
      </c>
      <c r="E320" s="99">
        <v>0</v>
      </c>
      <c r="F320" s="99">
        <v>0</v>
      </c>
      <c r="G320" s="99">
        <v>37</v>
      </c>
      <c r="H320" s="99">
        <v>1</v>
      </c>
      <c r="I320" s="99">
        <v>1</v>
      </c>
      <c r="J320" s="99">
        <v>0</v>
      </c>
      <c r="K320" s="99">
        <v>39</v>
      </c>
    </row>
    <row r="321" spans="1:12" x14ac:dyDescent="0.45">
      <c r="A321" s="90" t="s">
        <v>24</v>
      </c>
      <c r="B321" s="86">
        <v>14</v>
      </c>
      <c r="C321" s="86">
        <v>34</v>
      </c>
      <c r="D321" s="86">
        <v>487</v>
      </c>
      <c r="E321" s="86">
        <v>862</v>
      </c>
      <c r="F321" s="86">
        <v>7656</v>
      </c>
      <c r="G321" s="86">
        <v>682</v>
      </c>
      <c r="H321" s="86">
        <v>341</v>
      </c>
      <c r="I321" s="86">
        <v>306</v>
      </c>
      <c r="J321" s="86">
        <v>95</v>
      </c>
      <c r="K321" s="86">
        <v>10477</v>
      </c>
      <c r="L321" s="17"/>
    </row>
    <row r="324" spans="1:12" x14ac:dyDescent="0.45">
      <c r="A324" s="184" t="s">
        <v>187</v>
      </c>
      <c r="B324" s="1" t="s">
        <v>20</v>
      </c>
      <c r="C324" s="1"/>
      <c r="D324" s="1"/>
      <c r="E324" s="1"/>
      <c r="F324" s="1" t="s">
        <v>21</v>
      </c>
      <c r="G324" s="1"/>
      <c r="H324" s="1"/>
      <c r="I324" s="1"/>
      <c r="J324" s="1"/>
    </row>
    <row r="325" spans="1:12" x14ac:dyDescent="0.45">
      <c r="A325" s="108" t="s">
        <v>19</v>
      </c>
      <c r="B325" s="128">
        <v>13</v>
      </c>
      <c r="C325" s="128">
        <v>18</v>
      </c>
      <c r="D325" s="128">
        <v>23</v>
      </c>
      <c r="E325" s="128">
        <v>28</v>
      </c>
      <c r="F325" s="128">
        <v>3</v>
      </c>
      <c r="G325" s="128">
        <v>8</v>
      </c>
      <c r="H325" s="128">
        <v>13</v>
      </c>
      <c r="I325" s="128">
        <v>18</v>
      </c>
      <c r="J325" s="128">
        <v>23</v>
      </c>
      <c r="K325" s="97" t="s">
        <v>24</v>
      </c>
    </row>
    <row r="326" spans="1:12" x14ac:dyDescent="0.45">
      <c r="A326" s="90" t="s">
        <v>1</v>
      </c>
      <c r="B326" s="86">
        <v>0</v>
      </c>
      <c r="C326" s="86">
        <v>0</v>
      </c>
      <c r="D326" s="86">
        <v>3</v>
      </c>
      <c r="E326" s="86">
        <v>10</v>
      </c>
      <c r="F326" s="86">
        <v>30</v>
      </c>
      <c r="G326" s="86">
        <v>52</v>
      </c>
      <c r="H326" s="86">
        <v>54</v>
      </c>
      <c r="I326" s="86">
        <v>55</v>
      </c>
      <c r="J326" s="86">
        <v>42</v>
      </c>
      <c r="K326" s="86">
        <v>246</v>
      </c>
    </row>
    <row r="327" spans="1:12" x14ac:dyDescent="0.45">
      <c r="A327" s="90" t="s">
        <v>49</v>
      </c>
      <c r="B327" s="86">
        <v>0</v>
      </c>
      <c r="C327" s="86">
        <v>0</v>
      </c>
      <c r="D327" s="86">
        <v>0</v>
      </c>
      <c r="E327" s="86">
        <v>0</v>
      </c>
      <c r="F327" s="86">
        <v>0</v>
      </c>
      <c r="G327" s="86">
        <v>0</v>
      </c>
      <c r="H327" s="86">
        <v>0</v>
      </c>
      <c r="I327" s="86">
        <v>0</v>
      </c>
      <c r="J327" s="86">
        <v>0</v>
      </c>
      <c r="K327" s="86">
        <v>0</v>
      </c>
    </row>
    <row r="328" spans="1:12" x14ac:dyDescent="0.45">
      <c r="A328" s="90" t="s">
        <v>45</v>
      </c>
      <c r="B328" s="86">
        <v>0</v>
      </c>
      <c r="C328" s="86">
        <v>0</v>
      </c>
      <c r="D328" s="86">
        <v>0</v>
      </c>
      <c r="E328" s="86">
        <v>0</v>
      </c>
      <c r="F328" s="86">
        <v>0</v>
      </c>
      <c r="G328" s="86">
        <v>0</v>
      </c>
      <c r="H328" s="86">
        <v>0</v>
      </c>
      <c r="I328" s="86">
        <v>0</v>
      </c>
      <c r="J328" s="86">
        <v>0</v>
      </c>
      <c r="K328" s="86">
        <v>0</v>
      </c>
    </row>
    <row r="329" spans="1:12" x14ac:dyDescent="0.45">
      <c r="A329" s="90" t="s">
        <v>41</v>
      </c>
      <c r="B329" s="86">
        <v>0</v>
      </c>
      <c r="C329" s="86">
        <v>0</v>
      </c>
      <c r="D329" s="86">
        <v>1</v>
      </c>
      <c r="E329" s="86">
        <v>2</v>
      </c>
      <c r="F329" s="86">
        <v>4</v>
      </c>
      <c r="G329" s="86">
        <v>1</v>
      </c>
      <c r="H329" s="86">
        <v>4</v>
      </c>
      <c r="I329" s="86">
        <v>1</v>
      </c>
      <c r="J329" s="86">
        <v>0</v>
      </c>
      <c r="K329" s="86">
        <v>13</v>
      </c>
    </row>
    <row r="330" spans="1:12" x14ac:dyDescent="0.45">
      <c r="A330" s="90" t="s">
        <v>2</v>
      </c>
      <c r="B330" s="86">
        <v>0</v>
      </c>
      <c r="C330" s="86">
        <v>15</v>
      </c>
      <c r="D330" s="86">
        <v>14</v>
      </c>
      <c r="E330" s="86">
        <v>8</v>
      </c>
      <c r="F330" s="86">
        <v>7</v>
      </c>
      <c r="G330" s="86">
        <v>17</v>
      </c>
      <c r="H330" s="86">
        <v>16</v>
      </c>
      <c r="I330" s="86">
        <v>3</v>
      </c>
      <c r="J330" s="86">
        <v>0</v>
      </c>
      <c r="K330" s="86">
        <v>80</v>
      </c>
    </row>
    <row r="331" spans="1:12" x14ac:dyDescent="0.45">
      <c r="A331" s="90" t="s">
        <v>43</v>
      </c>
      <c r="B331" s="86">
        <v>0</v>
      </c>
      <c r="C331" s="86">
        <v>0</v>
      </c>
      <c r="D331" s="86">
        <v>0</v>
      </c>
      <c r="E331" s="86">
        <v>0</v>
      </c>
      <c r="F331" s="86">
        <v>0</v>
      </c>
      <c r="G331" s="86">
        <v>0</v>
      </c>
      <c r="H331" s="86">
        <v>0</v>
      </c>
      <c r="I331" s="86">
        <v>0</v>
      </c>
      <c r="J331" s="86">
        <v>0</v>
      </c>
      <c r="K331" s="86">
        <v>0</v>
      </c>
    </row>
    <row r="332" spans="1:12" x14ac:dyDescent="0.45">
      <c r="A332" s="90" t="s">
        <v>3</v>
      </c>
      <c r="B332" s="86">
        <v>7</v>
      </c>
      <c r="C332" s="86">
        <v>24</v>
      </c>
      <c r="D332" s="86">
        <v>5</v>
      </c>
      <c r="E332" s="86">
        <v>5</v>
      </c>
      <c r="F332" s="86">
        <v>5</v>
      </c>
      <c r="G332" s="86">
        <v>3</v>
      </c>
      <c r="H332" s="86">
        <v>5</v>
      </c>
      <c r="I332" s="86">
        <v>4</v>
      </c>
      <c r="J332" s="86">
        <v>0</v>
      </c>
      <c r="K332" s="86">
        <v>58</v>
      </c>
    </row>
    <row r="333" spans="1:12" x14ac:dyDescent="0.45">
      <c r="A333" s="90" t="s">
        <v>4</v>
      </c>
      <c r="B333" s="86">
        <v>2</v>
      </c>
      <c r="C333" s="86">
        <v>3</v>
      </c>
      <c r="D333" s="86">
        <v>0</v>
      </c>
      <c r="E333" s="86">
        <v>0</v>
      </c>
      <c r="F333" s="86">
        <v>0</v>
      </c>
      <c r="G333" s="86">
        <v>0</v>
      </c>
      <c r="H333" s="86">
        <v>0</v>
      </c>
      <c r="I333" s="86">
        <v>0</v>
      </c>
      <c r="J333" s="86">
        <v>0</v>
      </c>
      <c r="K333" s="86">
        <v>5</v>
      </c>
    </row>
    <row r="334" spans="1:12" x14ac:dyDescent="0.45">
      <c r="A334" s="90" t="s">
        <v>48</v>
      </c>
      <c r="B334" s="86">
        <v>2</v>
      </c>
      <c r="C334" s="86">
        <v>13</v>
      </c>
      <c r="D334" s="86">
        <v>0</v>
      </c>
      <c r="E334" s="86">
        <v>0</v>
      </c>
      <c r="F334" s="86">
        <v>0</v>
      </c>
      <c r="G334" s="86">
        <v>0</v>
      </c>
      <c r="H334" s="86">
        <v>0</v>
      </c>
      <c r="I334" s="86">
        <v>0</v>
      </c>
      <c r="J334" s="86">
        <v>0</v>
      </c>
      <c r="K334" s="86">
        <v>15</v>
      </c>
    </row>
    <row r="335" spans="1:12" x14ac:dyDescent="0.45">
      <c r="A335" s="90" t="s">
        <v>6</v>
      </c>
      <c r="B335" s="86">
        <v>0</v>
      </c>
      <c r="C335" s="86">
        <v>0</v>
      </c>
      <c r="D335" s="86">
        <v>0</v>
      </c>
      <c r="E335" s="86">
        <v>0</v>
      </c>
      <c r="F335" s="86">
        <v>0</v>
      </c>
      <c r="G335" s="86">
        <v>0</v>
      </c>
      <c r="H335" s="86">
        <v>0</v>
      </c>
      <c r="I335" s="86">
        <v>0</v>
      </c>
      <c r="J335" s="86">
        <v>0</v>
      </c>
      <c r="K335" s="86">
        <v>0</v>
      </c>
    </row>
    <row r="336" spans="1:12" x14ac:dyDescent="0.45">
      <c r="A336" s="90" t="s">
        <v>7</v>
      </c>
      <c r="B336" s="86">
        <v>0</v>
      </c>
      <c r="C336" s="86">
        <v>0</v>
      </c>
      <c r="D336" s="86">
        <v>0</v>
      </c>
      <c r="E336" s="86">
        <v>0</v>
      </c>
      <c r="F336" s="86">
        <v>41</v>
      </c>
      <c r="G336" s="86">
        <v>0</v>
      </c>
      <c r="H336" s="86">
        <v>10</v>
      </c>
      <c r="I336" s="86">
        <v>0</v>
      </c>
      <c r="J336" s="86">
        <v>0</v>
      </c>
      <c r="K336" s="86">
        <v>51</v>
      </c>
    </row>
    <row r="337" spans="1:11" x14ac:dyDescent="0.45">
      <c r="A337" s="90" t="s">
        <v>83</v>
      </c>
      <c r="B337" s="86">
        <v>0</v>
      </c>
      <c r="C337" s="86">
        <v>0</v>
      </c>
      <c r="D337" s="86">
        <v>0</v>
      </c>
      <c r="E337" s="86">
        <v>0</v>
      </c>
      <c r="F337" s="86">
        <v>0</v>
      </c>
      <c r="G337" s="86">
        <v>0</v>
      </c>
      <c r="H337" s="86">
        <v>0</v>
      </c>
      <c r="I337" s="86">
        <v>0</v>
      </c>
      <c r="J337" s="86">
        <v>0</v>
      </c>
      <c r="K337" s="86">
        <v>0</v>
      </c>
    </row>
    <row r="338" spans="1:11" x14ac:dyDescent="0.45">
      <c r="A338" s="90" t="s">
        <v>50</v>
      </c>
      <c r="B338" s="86">
        <v>0</v>
      </c>
      <c r="C338" s="86">
        <v>0</v>
      </c>
      <c r="D338" s="86">
        <v>0</v>
      </c>
      <c r="E338" s="86">
        <v>0</v>
      </c>
      <c r="F338" s="86">
        <v>1</v>
      </c>
      <c r="G338" s="86">
        <v>0</v>
      </c>
      <c r="H338" s="86">
        <v>0</v>
      </c>
      <c r="I338" s="86">
        <v>0</v>
      </c>
      <c r="J338" s="86">
        <v>0</v>
      </c>
      <c r="K338" s="86">
        <v>1</v>
      </c>
    </row>
    <row r="339" spans="1:11" x14ac:dyDescent="0.45">
      <c r="A339" s="90" t="s">
        <v>51</v>
      </c>
      <c r="B339" s="86">
        <v>0</v>
      </c>
      <c r="C339" s="86">
        <v>0</v>
      </c>
      <c r="D339" s="86">
        <v>0</v>
      </c>
      <c r="E339" s="86">
        <v>0</v>
      </c>
      <c r="F339" s="86">
        <v>0</v>
      </c>
      <c r="G339" s="86">
        <v>0</v>
      </c>
      <c r="H339" s="86">
        <v>1</v>
      </c>
      <c r="I339" s="86">
        <v>0</v>
      </c>
      <c r="J339" s="86">
        <v>0</v>
      </c>
      <c r="K339" s="86">
        <v>1</v>
      </c>
    </row>
    <row r="340" spans="1:11" x14ac:dyDescent="0.45">
      <c r="A340" s="90" t="s">
        <v>42</v>
      </c>
      <c r="B340" s="86">
        <v>0</v>
      </c>
      <c r="C340" s="86">
        <v>0</v>
      </c>
      <c r="D340" s="86">
        <v>0</v>
      </c>
      <c r="E340" s="86">
        <v>1</v>
      </c>
      <c r="F340" s="86">
        <v>3</v>
      </c>
      <c r="G340" s="86">
        <v>0</v>
      </c>
      <c r="H340" s="86">
        <v>6</v>
      </c>
      <c r="I340" s="86">
        <v>0</v>
      </c>
      <c r="J340" s="86">
        <v>1</v>
      </c>
      <c r="K340" s="86">
        <v>11</v>
      </c>
    </row>
    <row r="341" spans="1:11" x14ac:dyDescent="0.45">
      <c r="A341" s="90" t="s">
        <v>8</v>
      </c>
      <c r="B341" s="86">
        <v>0</v>
      </c>
      <c r="C341" s="86">
        <v>0</v>
      </c>
      <c r="D341" s="86">
        <v>0</v>
      </c>
      <c r="E341" s="86">
        <v>0</v>
      </c>
      <c r="F341" s="86">
        <v>4</v>
      </c>
      <c r="G341" s="86">
        <v>22</v>
      </c>
      <c r="H341" s="86">
        <v>14</v>
      </c>
      <c r="I341" s="86">
        <v>18</v>
      </c>
      <c r="J341" s="86">
        <v>0</v>
      </c>
      <c r="K341" s="86">
        <v>58</v>
      </c>
    </row>
    <row r="342" spans="1:11" x14ac:dyDescent="0.45">
      <c r="A342" s="90" t="s">
        <v>9</v>
      </c>
      <c r="B342" s="86">
        <v>0</v>
      </c>
      <c r="C342" s="86">
        <v>0</v>
      </c>
      <c r="D342" s="86">
        <v>16</v>
      </c>
      <c r="E342" s="86">
        <v>16</v>
      </c>
      <c r="F342" s="86">
        <v>650</v>
      </c>
      <c r="G342" s="86">
        <v>413</v>
      </c>
      <c r="H342" s="86">
        <v>2</v>
      </c>
      <c r="I342" s="86">
        <v>87</v>
      </c>
      <c r="J342" s="86">
        <v>2</v>
      </c>
      <c r="K342" s="86">
        <v>1186</v>
      </c>
    </row>
    <row r="343" spans="1:11" x14ac:dyDescent="0.45">
      <c r="A343" s="90" t="s">
        <v>44</v>
      </c>
      <c r="B343" s="86">
        <v>0</v>
      </c>
      <c r="C343" s="86">
        <v>0</v>
      </c>
      <c r="D343" s="86">
        <v>0</v>
      </c>
      <c r="E343" s="86">
        <v>0</v>
      </c>
      <c r="F343" s="86">
        <v>2</v>
      </c>
      <c r="G343" s="86">
        <v>1</v>
      </c>
      <c r="H343" s="86">
        <v>0</v>
      </c>
      <c r="I343" s="86">
        <v>1</v>
      </c>
      <c r="J343" s="86">
        <v>3</v>
      </c>
      <c r="K343" s="86">
        <v>7</v>
      </c>
    </row>
    <row r="344" spans="1:11" x14ac:dyDescent="0.45">
      <c r="A344" s="90" t="s">
        <v>10</v>
      </c>
      <c r="B344" s="86">
        <v>0</v>
      </c>
      <c r="C344" s="86">
        <v>0</v>
      </c>
      <c r="D344" s="86">
        <v>0</v>
      </c>
      <c r="E344" s="86">
        <v>2</v>
      </c>
      <c r="F344" s="86">
        <v>15</v>
      </c>
      <c r="G344" s="86">
        <v>15</v>
      </c>
      <c r="H344" s="86">
        <v>80</v>
      </c>
      <c r="I344" s="86">
        <v>10</v>
      </c>
      <c r="J344" s="86">
        <v>0</v>
      </c>
      <c r="K344" s="86">
        <v>122</v>
      </c>
    </row>
    <row r="345" spans="1:11" x14ac:dyDescent="0.45">
      <c r="A345" s="90" t="s">
        <v>11</v>
      </c>
      <c r="B345" s="86">
        <v>0</v>
      </c>
      <c r="C345" s="86">
        <v>0</v>
      </c>
      <c r="D345" s="86">
        <v>0</v>
      </c>
      <c r="E345" s="86">
        <v>50</v>
      </c>
      <c r="F345" s="86">
        <v>1611</v>
      </c>
      <c r="G345" s="86">
        <v>2885</v>
      </c>
      <c r="H345" s="86">
        <v>2431</v>
      </c>
      <c r="I345" s="86">
        <v>212</v>
      </c>
      <c r="J345" s="86">
        <v>36</v>
      </c>
      <c r="K345" s="86">
        <v>7225</v>
      </c>
    </row>
    <row r="346" spans="1:11" x14ac:dyDescent="0.45">
      <c r="A346" s="90" t="s">
        <v>12</v>
      </c>
      <c r="B346" s="86">
        <v>0</v>
      </c>
      <c r="C346" s="86">
        <v>0</v>
      </c>
      <c r="D346" s="86">
        <v>0</v>
      </c>
      <c r="E346" s="86">
        <v>3</v>
      </c>
      <c r="F346" s="86">
        <v>25</v>
      </c>
      <c r="G346" s="86">
        <v>49</v>
      </c>
      <c r="H346" s="86">
        <v>24</v>
      </c>
      <c r="I346" s="86">
        <v>1</v>
      </c>
      <c r="J346" s="86">
        <v>0</v>
      </c>
      <c r="K346" s="86">
        <v>102</v>
      </c>
    </row>
    <row r="347" spans="1:11" x14ac:dyDescent="0.45">
      <c r="A347" s="90" t="s">
        <v>32</v>
      </c>
      <c r="B347" s="86">
        <v>0</v>
      </c>
      <c r="C347" s="86">
        <v>0</v>
      </c>
      <c r="D347" s="86">
        <v>0</v>
      </c>
      <c r="E347" s="86">
        <v>0</v>
      </c>
      <c r="F347" s="86">
        <v>5</v>
      </c>
      <c r="G347" s="86">
        <v>0</v>
      </c>
      <c r="H347" s="86">
        <v>0</v>
      </c>
      <c r="I347" s="86">
        <v>5</v>
      </c>
      <c r="J347" s="86">
        <v>0</v>
      </c>
      <c r="K347" s="86">
        <v>10</v>
      </c>
    </row>
    <row r="348" spans="1:11" x14ac:dyDescent="0.45">
      <c r="A348" s="90" t="s">
        <v>18</v>
      </c>
      <c r="B348" s="86">
        <v>0</v>
      </c>
      <c r="C348" s="86">
        <v>0</v>
      </c>
      <c r="D348" s="86">
        <v>0</v>
      </c>
      <c r="E348" s="86">
        <v>0</v>
      </c>
      <c r="F348" s="86">
        <v>40</v>
      </c>
      <c r="G348" s="86">
        <v>150</v>
      </c>
      <c r="H348" s="86">
        <v>140</v>
      </c>
      <c r="I348" s="86">
        <v>30</v>
      </c>
      <c r="J348" s="86">
        <v>0</v>
      </c>
      <c r="K348" s="86">
        <v>360</v>
      </c>
    </row>
    <row r="349" spans="1:11" x14ac:dyDescent="0.45">
      <c r="A349" s="90" t="s">
        <v>46</v>
      </c>
      <c r="B349" s="86">
        <v>0</v>
      </c>
      <c r="C349" s="86">
        <v>0</v>
      </c>
      <c r="D349" s="86">
        <v>0</v>
      </c>
      <c r="E349" s="86">
        <v>0</v>
      </c>
      <c r="F349" s="86">
        <v>0</v>
      </c>
      <c r="G349" s="86">
        <v>0</v>
      </c>
      <c r="H349" s="86">
        <v>0</v>
      </c>
      <c r="I349" s="86">
        <v>0</v>
      </c>
      <c r="J349" s="86">
        <v>0</v>
      </c>
      <c r="K349" s="86">
        <v>0</v>
      </c>
    </row>
    <row r="350" spans="1:11" x14ac:dyDescent="0.45">
      <c r="A350" s="90" t="s">
        <v>13</v>
      </c>
      <c r="B350" s="86">
        <v>0</v>
      </c>
      <c r="C350" s="86">
        <v>0</v>
      </c>
      <c r="D350" s="86">
        <v>0</v>
      </c>
      <c r="E350" s="86">
        <v>0</v>
      </c>
      <c r="F350" s="86">
        <v>0</v>
      </c>
      <c r="G350" s="86">
        <v>6</v>
      </c>
      <c r="H350" s="86">
        <v>0</v>
      </c>
      <c r="I350" s="86">
        <v>0</v>
      </c>
      <c r="J350" s="86">
        <v>9</v>
      </c>
      <c r="K350" s="86">
        <v>15</v>
      </c>
    </row>
    <row r="351" spans="1:11" x14ac:dyDescent="0.45">
      <c r="A351" s="90" t="s">
        <v>14</v>
      </c>
      <c r="B351" s="86">
        <v>0</v>
      </c>
      <c r="C351" s="86">
        <v>0</v>
      </c>
      <c r="D351" s="86">
        <v>0</v>
      </c>
      <c r="E351" s="86">
        <v>9</v>
      </c>
      <c r="F351" s="86">
        <v>173</v>
      </c>
      <c r="G351" s="86">
        <v>263</v>
      </c>
      <c r="H351" s="86">
        <v>126</v>
      </c>
      <c r="I351" s="86">
        <v>19</v>
      </c>
      <c r="J351" s="86">
        <v>0</v>
      </c>
      <c r="K351" s="86">
        <v>590</v>
      </c>
    </row>
    <row r="352" spans="1:11" x14ac:dyDescent="0.45">
      <c r="A352" s="90" t="s">
        <v>40</v>
      </c>
      <c r="B352" s="86">
        <v>32</v>
      </c>
      <c r="C352" s="86">
        <v>10</v>
      </c>
      <c r="D352" s="86">
        <v>0</v>
      </c>
      <c r="E352" s="86">
        <v>5</v>
      </c>
      <c r="F352" s="86">
        <v>0</v>
      </c>
      <c r="G352" s="86">
        <v>0</v>
      </c>
      <c r="H352" s="86">
        <v>0</v>
      </c>
      <c r="I352" s="86">
        <v>0</v>
      </c>
      <c r="J352" s="86">
        <v>0</v>
      </c>
      <c r="K352" s="86">
        <v>47</v>
      </c>
    </row>
    <row r="353" spans="1:12" x14ac:dyDescent="0.45">
      <c r="A353" s="90" t="s">
        <v>52</v>
      </c>
      <c r="B353" s="86">
        <v>0</v>
      </c>
      <c r="C353" s="86">
        <v>0</v>
      </c>
      <c r="D353" s="86">
        <v>0</v>
      </c>
      <c r="E353" s="86">
        <v>0</v>
      </c>
      <c r="F353" s="86">
        <v>0</v>
      </c>
      <c r="G353" s="86">
        <v>0</v>
      </c>
      <c r="H353" s="86">
        <v>0</v>
      </c>
      <c r="I353" s="86">
        <v>0</v>
      </c>
      <c r="J353" s="86">
        <v>0</v>
      </c>
      <c r="K353" s="86">
        <v>0</v>
      </c>
    </row>
    <row r="354" spans="1:12" x14ac:dyDescent="0.45">
      <c r="A354" s="90" t="s">
        <v>53</v>
      </c>
      <c r="B354" s="86">
        <v>0</v>
      </c>
      <c r="C354" s="86">
        <v>0</v>
      </c>
      <c r="D354" s="86">
        <v>0</v>
      </c>
      <c r="E354" s="86">
        <v>0</v>
      </c>
      <c r="F354" s="86">
        <v>0</v>
      </c>
      <c r="G354" s="86">
        <v>0</v>
      </c>
      <c r="H354" s="86">
        <v>0</v>
      </c>
      <c r="I354" s="86">
        <v>0</v>
      </c>
      <c r="J354" s="86">
        <v>0</v>
      </c>
      <c r="K354" s="86">
        <v>0</v>
      </c>
    </row>
    <row r="355" spans="1:12" x14ac:dyDescent="0.45">
      <c r="A355" s="90" t="s">
        <v>15</v>
      </c>
      <c r="B355" s="86">
        <v>0</v>
      </c>
      <c r="C355" s="86">
        <v>0</v>
      </c>
      <c r="D355" s="86">
        <v>1</v>
      </c>
      <c r="E355" s="86">
        <v>0</v>
      </c>
      <c r="F355" s="86">
        <v>7</v>
      </c>
      <c r="G355" s="86">
        <v>30</v>
      </c>
      <c r="H355" s="86">
        <v>11</v>
      </c>
      <c r="I355" s="86">
        <v>0</v>
      </c>
      <c r="J355" s="86">
        <v>8</v>
      </c>
      <c r="K355" s="86">
        <v>57</v>
      </c>
    </row>
    <row r="356" spans="1:12" x14ac:dyDescent="0.45">
      <c r="A356" s="90" t="s">
        <v>54</v>
      </c>
      <c r="B356" s="86">
        <v>0</v>
      </c>
      <c r="C356" s="86">
        <v>0</v>
      </c>
      <c r="D356" s="86">
        <v>0</v>
      </c>
      <c r="E356" s="86">
        <v>0</v>
      </c>
      <c r="F356" s="86">
        <v>1</v>
      </c>
      <c r="G356" s="86">
        <v>36</v>
      </c>
      <c r="H356" s="86">
        <v>0</v>
      </c>
      <c r="I356" s="86">
        <v>0</v>
      </c>
      <c r="J356" s="86">
        <v>0</v>
      </c>
      <c r="K356" s="86">
        <v>37</v>
      </c>
    </row>
    <row r="357" spans="1:12" x14ac:dyDescent="0.45">
      <c r="A357" s="90" t="s">
        <v>47</v>
      </c>
      <c r="B357" s="86">
        <v>0</v>
      </c>
      <c r="C357" s="86">
        <v>0</v>
      </c>
      <c r="D357" s="86">
        <v>0</v>
      </c>
      <c r="E357" s="86">
        <v>0</v>
      </c>
      <c r="F357" s="86">
        <v>1</v>
      </c>
      <c r="G357" s="86">
        <v>0</v>
      </c>
      <c r="H357" s="86">
        <v>5</v>
      </c>
      <c r="I357" s="86">
        <v>3</v>
      </c>
      <c r="J357" s="86">
        <v>5</v>
      </c>
      <c r="K357" s="86">
        <v>14</v>
      </c>
    </row>
    <row r="358" spans="1:12" x14ac:dyDescent="0.45">
      <c r="A358" s="90" t="s">
        <v>16</v>
      </c>
      <c r="B358" s="86">
        <v>0</v>
      </c>
      <c r="C358" s="86">
        <v>0</v>
      </c>
      <c r="D358" s="86">
        <v>0</v>
      </c>
      <c r="E358" s="86">
        <v>0</v>
      </c>
      <c r="F358" s="86">
        <v>0</v>
      </c>
      <c r="G358" s="86">
        <v>0</v>
      </c>
      <c r="H358" s="86">
        <v>0</v>
      </c>
      <c r="I358" s="86">
        <v>0</v>
      </c>
      <c r="J358" s="86">
        <v>0</v>
      </c>
      <c r="K358" s="86">
        <v>0</v>
      </c>
    </row>
    <row r="359" spans="1:12" x14ac:dyDescent="0.45">
      <c r="A359" s="90" t="s">
        <v>55</v>
      </c>
      <c r="B359" s="86">
        <v>0</v>
      </c>
      <c r="C359" s="86">
        <v>0</v>
      </c>
      <c r="D359" s="86">
        <v>0</v>
      </c>
      <c r="E359" s="86">
        <v>0</v>
      </c>
      <c r="F359" s="86">
        <v>0</v>
      </c>
      <c r="G359" s="86">
        <v>0</v>
      </c>
      <c r="H359" s="86">
        <v>0</v>
      </c>
      <c r="I359" s="86">
        <v>0</v>
      </c>
      <c r="J359" s="86">
        <v>0</v>
      </c>
      <c r="K359" s="86">
        <v>0</v>
      </c>
    </row>
    <row r="360" spans="1:12" x14ac:dyDescent="0.45">
      <c r="A360" s="90" t="s">
        <v>17</v>
      </c>
      <c r="B360" s="86">
        <v>0</v>
      </c>
      <c r="C360" s="86">
        <v>0</v>
      </c>
      <c r="D360" s="86">
        <v>0</v>
      </c>
      <c r="E360" s="86">
        <v>100</v>
      </c>
      <c r="F360" s="86">
        <v>0</v>
      </c>
      <c r="G360" s="86">
        <v>0</v>
      </c>
      <c r="H360" s="86">
        <v>2</v>
      </c>
      <c r="I360" s="86">
        <v>0</v>
      </c>
      <c r="J360" s="86">
        <v>0</v>
      </c>
      <c r="K360" s="86">
        <v>102</v>
      </c>
    </row>
    <row r="361" spans="1:12" x14ac:dyDescent="0.45">
      <c r="A361" s="170" t="s">
        <v>24</v>
      </c>
      <c r="B361" s="159">
        <v>43</v>
      </c>
      <c r="C361" s="160">
        <v>65</v>
      </c>
      <c r="D361" s="160">
        <v>40</v>
      </c>
      <c r="E361" s="160">
        <v>211</v>
      </c>
      <c r="F361" s="160">
        <v>2625</v>
      </c>
      <c r="G361" s="160">
        <v>3943</v>
      </c>
      <c r="H361" s="160">
        <v>2931</v>
      </c>
      <c r="I361" s="160">
        <v>449</v>
      </c>
      <c r="J361" s="160">
        <v>106</v>
      </c>
      <c r="K361" s="160">
        <v>10413</v>
      </c>
      <c r="L361" s="17"/>
    </row>
    <row r="364" spans="1:12" x14ac:dyDescent="0.45">
      <c r="A364" s="184" t="s">
        <v>209</v>
      </c>
      <c r="B364" s="1" t="s">
        <v>20</v>
      </c>
      <c r="C364" s="180"/>
      <c r="D364" s="180"/>
      <c r="E364" s="180"/>
      <c r="F364" s="1" t="s">
        <v>21</v>
      </c>
      <c r="G364" s="180"/>
      <c r="H364" s="180"/>
      <c r="I364" s="180"/>
      <c r="J364" s="180"/>
      <c r="K364" s="180"/>
      <c r="L364" s="180"/>
    </row>
    <row r="365" spans="1:12" x14ac:dyDescent="0.45">
      <c r="A365" s="26" t="s">
        <v>19</v>
      </c>
      <c r="B365" s="158">
        <v>14</v>
      </c>
      <c r="C365" s="128">
        <v>19</v>
      </c>
      <c r="D365" s="128">
        <v>24</v>
      </c>
      <c r="E365" s="128">
        <v>29</v>
      </c>
      <c r="F365" s="128">
        <v>4</v>
      </c>
      <c r="G365" s="128">
        <v>9</v>
      </c>
      <c r="H365" s="128">
        <v>14</v>
      </c>
      <c r="I365" s="128">
        <v>19</v>
      </c>
      <c r="J365" s="128">
        <v>24</v>
      </c>
      <c r="K365" s="8" t="s">
        <v>24</v>
      </c>
      <c r="L365" s="180"/>
    </row>
    <row r="366" spans="1:12" x14ac:dyDescent="0.45">
      <c r="A366" s="3" t="s">
        <v>1</v>
      </c>
      <c r="B366" s="17">
        <v>0</v>
      </c>
      <c r="C366" s="17">
        <v>0</v>
      </c>
      <c r="D366" s="17">
        <v>0</v>
      </c>
      <c r="E366" s="17">
        <v>0</v>
      </c>
      <c r="F366" s="17">
        <v>5</v>
      </c>
      <c r="G366" s="17">
        <v>111</v>
      </c>
      <c r="H366" s="17">
        <v>111</v>
      </c>
      <c r="I366" s="17">
        <v>45</v>
      </c>
      <c r="J366" s="17">
        <v>50</v>
      </c>
      <c r="K366" s="17">
        <v>322</v>
      </c>
      <c r="L366" s="180"/>
    </row>
    <row r="367" spans="1:12" x14ac:dyDescent="0.45">
      <c r="A367" s="83" t="s">
        <v>49</v>
      </c>
      <c r="B367" s="17">
        <v>0</v>
      </c>
      <c r="C367" s="17">
        <v>0</v>
      </c>
      <c r="D367" s="17">
        <v>0</v>
      </c>
      <c r="E367" s="17">
        <v>0</v>
      </c>
      <c r="F367" s="17">
        <v>0</v>
      </c>
      <c r="G367" s="17">
        <v>0</v>
      </c>
      <c r="H367" s="17">
        <v>0</v>
      </c>
      <c r="I367" s="17">
        <v>0</v>
      </c>
      <c r="J367" s="17">
        <v>0</v>
      </c>
      <c r="K367" s="17">
        <v>0</v>
      </c>
      <c r="L367" s="180"/>
    </row>
    <row r="368" spans="1:12" x14ac:dyDescent="0.45">
      <c r="A368" s="83" t="s">
        <v>45</v>
      </c>
      <c r="B368" s="17">
        <v>0</v>
      </c>
      <c r="C368" s="17">
        <v>0</v>
      </c>
      <c r="D368" s="17">
        <v>0</v>
      </c>
      <c r="E368" s="17">
        <v>0</v>
      </c>
      <c r="F368" s="17">
        <v>0</v>
      </c>
      <c r="G368" s="17">
        <v>0</v>
      </c>
      <c r="H368" s="17">
        <v>0</v>
      </c>
      <c r="I368" s="17">
        <v>0</v>
      </c>
      <c r="J368" s="17">
        <v>0</v>
      </c>
      <c r="K368" s="17">
        <v>0</v>
      </c>
      <c r="L368" s="180"/>
    </row>
    <row r="369" spans="1:12" x14ac:dyDescent="0.45">
      <c r="A369" s="83" t="s">
        <v>41</v>
      </c>
      <c r="B369" s="17">
        <v>0</v>
      </c>
      <c r="C369" s="17">
        <v>0</v>
      </c>
      <c r="D369" s="17">
        <v>0</v>
      </c>
      <c r="E369" s="17">
        <v>4</v>
      </c>
      <c r="F369" s="17">
        <v>5</v>
      </c>
      <c r="G369" s="17">
        <v>4</v>
      </c>
      <c r="H369" s="17">
        <v>0</v>
      </c>
      <c r="I369" s="17">
        <v>3</v>
      </c>
      <c r="J369" s="17">
        <v>0</v>
      </c>
      <c r="K369" s="17">
        <v>16</v>
      </c>
      <c r="L369" s="180"/>
    </row>
    <row r="370" spans="1:12" x14ac:dyDescent="0.45">
      <c r="A370" s="3" t="s">
        <v>2</v>
      </c>
      <c r="B370" s="17">
        <v>0</v>
      </c>
      <c r="C370" s="17">
        <v>3</v>
      </c>
      <c r="D370" s="17">
        <v>5</v>
      </c>
      <c r="E370" s="17">
        <v>43</v>
      </c>
      <c r="F370" s="17">
        <v>28</v>
      </c>
      <c r="G370" s="17">
        <v>41</v>
      </c>
      <c r="H370" s="17">
        <v>13</v>
      </c>
      <c r="I370" s="17">
        <v>2</v>
      </c>
      <c r="J370" s="17">
        <v>0</v>
      </c>
      <c r="K370" s="17">
        <v>135</v>
      </c>
      <c r="L370" s="17"/>
    </row>
    <row r="371" spans="1:12" x14ac:dyDescent="0.45">
      <c r="A371" s="83" t="s">
        <v>43</v>
      </c>
      <c r="B371" s="17">
        <v>0</v>
      </c>
      <c r="C371" s="17">
        <v>1</v>
      </c>
      <c r="D371" s="17">
        <v>0</v>
      </c>
      <c r="E371" s="17">
        <v>2</v>
      </c>
      <c r="F371" s="17">
        <v>0</v>
      </c>
      <c r="G371" s="17">
        <v>2</v>
      </c>
      <c r="H371" s="17">
        <v>0</v>
      </c>
      <c r="I371" s="17">
        <v>0</v>
      </c>
      <c r="J371" s="17">
        <v>2</v>
      </c>
      <c r="K371" s="17">
        <v>7</v>
      </c>
      <c r="L371" s="180"/>
    </row>
    <row r="372" spans="1:12" x14ac:dyDescent="0.45">
      <c r="A372" s="3" t="s">
        <v>3</v>
      </c>
      <c r="B372" s="17">
        <v>3</v>
      </c>
      <c r="C372" s="17">
        <v>7</v>
      </c>
      <c r="D372" s="17">
        <v>0</v>
      </c>
      <c r="E372" s="17">
        <v>19</v>
      </c>
      <c r="F372" s="17">
        <v>7</v>
      </c>
      <c r="G372" s="17">
        <v>13</v>
      </c>
      <c r="H372" s="17">
        <v>3</v>
      </c>
      <c r="I372" s="17">
        <v>6</v>
      </c>
      <c r="J372" s="17">
        <v>1</v>
      </c>
      <c r="K372" s="17">
        <v>59</v>
      </c>
      <c r="L372" s="180"/>
    </row>
    <row r="373" spans="1:12" x14ac:dyDescent="0.45">
      <c r="A373" s="3" t="s">
        <v>4</v>
      </c>
      <c r="B373" s="17">
        <v>0</v>
      </c>
      <c r="C373" s="17">
        <v>0</v>
      </c>
      <c r="D373" s="17">
        <v>0</v>
      </c>
      <c r="E373" s="17">
        <v>3</v>
      </c>
      <c r="F373" s="17">
        <v>2</v>
      </c>
      <c r="G373" s="17">
        <v>8</v>
      </c>
      <c r="H373" s="17">
        <v>0</v>
      </c>
      <c r="I373" s="17">
        <v>0</v>
      </c>
      <c r="J373" s="17">
        <v>0</v>
      </c>
      <c r="K373" s="17">
        <v>13</v>
      </c>
      <c r="L373" s="180"/>
    </row>
    <row r="374" spans="1:12" x14ac:dyDescent="0.45">
      <c r="A374" s="83" t="s">
        <v>48</v>
      </c>
      <c r="B374" s="17">
        <v>0</v>
      </c>
      <c r="C374" s="17">
        <v>0</v>
      </c>
      <c r="D374" s="17">
        <v>0</v>
      </c>
      <c r="E374" s="17">
        <v>0</v>
      </c>
      <c r="F374" s="17">
        <v>0</v>
      </c>
      <c r="G374" s="17">
        <v>1</v>
      </c>
      <c r="H374" s="17">
        <v>0</v>
      </c>
      <c r="I374" s="17">
        <v>0</v>
      </c>
      <c r="J374" s="17">
        <v>0</v>
      </c>
      <c r="K374" s="17">
        <v>1</v>
      </c>
      <c r="L374" s="180"/>
    </row>
    <row r="375" spans="1:12" x14ac:dyDescent="0.45">
      <c r="A375" s="3" t="s">
        <v>6</v>
      </c>
      <c r="B375" s="17">
        <v>0</v>
      </c>
      <c r="C375" s="17">
        <v>0</v>
      </c>
      <c r="D375" s="17">
        <v>0</v>
      </c>
      <c r="E375" s="17">
        <v>0</v>
      </c>
      <c r="F375" s="17">
        <v>0</v>
      </c>
      <c r="G375" s="17">
        <v>0</v>
      </c>
      <c r="H375" s="17">
        <v>0</v>
      </c>
      <c r="I375" s="17">
        <v>0</v>
      </c>
      <c r="J375" s="17">
        <v>0</v>
      </c>
      <c r="K375" s="17">
        <v>0</v>
      </c>
      <c r="L375" s="180"/>
    </row>
    <row r="376" spans="1:12" x14ac:dyDescent="0.45">
      <c r="A376" s="3" t="s">
        <v>7</v>
      </c>
      <c r="B376" s="17">
        <v>0</v>
      </c>
      <c r="C376" s="17">
        <v>0</v>
      </c>
      <c r="D376" s="17">
        <v>0</v>
      </c>
      <c r="E376" s="17">
        <v>0</v>
      </c>
      <c r="F376" s="17">
        <v>3</v>
      </c>
      <c r="G376" s="17">
        <v>19</v>
      </c>
      <c r="H376" s="17">
        <v>0</v>
      </c>
      <c r="I376" s="17">
        <v>0</v>
      </c>
      <c r="J376" s="17">
        <v>3</v>
      </c>
      <c r="K376" s="17">
        <v>25</v>
      </c>
      <c r="L376" s="180"/>
    </row>
    <row r="377" spans="1:12" x14ac:dyDescent="0.45">
      <c r="A377" s="101" t="s">
        <v>83</v>
      </c>
      <c r="B377" s="17">
        <v>0</v>
      </c>
      <c r="C377" s="17">
        <v>0</v>
      </c>
      <c r="D377" s="17">
        <v>0</v>
      </c>
      <c r="E377" s="17">
        <v>0</v>
      </c>
      <c r="F377" s="17">
        <v>0</v>
      </c>
      <c r="G377" s="17">
        <v>0</v>
      </c>
      <c r="H377" s="17">
        <v>0</v>
      </c>
      <c r="I377" s="17">
        <v>0</v>
      </c>
      <c r="J377" s="17">
        <v>0</v>
      </c>
      <c r="K377" s="17">
        <v>0</v>
      </c>
      <c r="L377" s="180"/>
    </row>
    <row r="378" spans="1:12" x14ac:dyDescent="0.45">
      <c r="A378" s="83" t="s">
        <v>50</v>
      </c>
      <c r="B378" s="17">
        <v>0</v>
      </c>
      <c r="C378" s="17">
        <v>0</v>
      </c>
      <c r="D378" s="17">
        <v>0</v>
      </c>
      <c r="E378" s="17">
        <v>1</v>
      </c>
      <c r="F378" s="17">
        <v>0</v>
      </c>
      <c r="G378" s="17">
        <v>0</v>
      </c>
      <c r="H378" s="17">
        <v>0</v>
      </c>
      <c r="I378" s="17">
        <v>0</v>
      </c>
      <c r="J378" s="17">
        <v>0</v>
      </c>
      <c r="K378" s="17">
        <v>1</v>
      </c>
      <c r="L378" s="180"/>
    </row>
    <row r="379" spans="1:12" x14ac:dyDescent="0.45">
      <c r="A379" s="83" t="s">
        <v>51</v>
      </c>
      <c r="B379" s="17">
        <v>0</v>
      </c>
      <c r="C379" s="17">
        <v>0</v>
      </c>
      <c r="D379" s="17">
        <v>0</v>
      </c>
      <c r="E379" s="17">
        <v>0</v>
      </c>
      <c r="F379" s="17">
        <v>3</v>
      </c>
      <c r="G379" s="17">
        <v>0</v>
      </c>
      <c r="H379" s="17">
        <v>0</v>
      </c>
      <c r="I379" s="17">
        <v>0</v>
      </c>
      <c r="J379" s="17">
        <v>0</v>
      </c>
      <c r="K379" s="17">
        <v>3</v>
      </c>
      <c r="L379" s="180"/>
    </row>
    <row r="380" spans="1:12" x14ac:dyDescent="0.45">
      <c r="A380" s="83" t="s">
        <v>42</v>
      </c>
      <c r="B380" s="17">
        <v>0</v>
      </c>
      <c r="C380" s="17">
        <v>0</v>
      </c>
      <c r="D380" s="17">
        <v>0</v>
      </c>
      <c r="E380" s="17">
        <v>1</v>
      </c>
      <c r="F380" s="17">
        <v>1</v>
      </c>
      <c r="G380" s="17">
        <v>26</v>
      </c>
      <c r="H380" s="17">
        <v>1</v>
      </c>
      <c r="I380" s="17">
        <v>0</v>
      </c>
      <c r="J380" s="17">
        <v>0</v>
      </c>
      <c r="K380" s="17">
        <v>29</v>
      </c>
      <c r="L380" s="180"/>
    </row>
    <row r="381" spans="1:12" x14ac:dyDescent="0.45">
      <c r="A381" s="3" t="s">
        <v>8</v>
      </c>
      <c r="B381" s="17">
        <v>0</v>
      </c>
      <c r="C381" s="17">
        <v>1</v>
      </c>
      <c r="D381" s="17">
        <v>0</v>
      </c>
      <c r="E381" s="17">
        <v>0</v>
      </c>
      <c r="F381" s="17">
        <v>0</v>
      </c>
      <c r="G381" s="17">
        <v>9</v>
      </c>
      <c r="H381" s="17">
        <v>28</v>
      </c>
      <c r="I381" s="17">
        <v>16</v>
      </c>
      <c r="J381" s="17">
        <v>1</v>
      </c>
      <c r="K381" s="17">
        <v>55</v>
      </c>
      <c r="L381" s="180"/>
    </row>
    <row r="382" spans="1:12" x14ac:dyDescent="0.45">
      <c r="A382" s="3" t="s">
        <v>9</v>
      </c>
      <c r="B382" s="17">
        <v>0</v>
      </c>
      <c r="C382" s="17">
        <v>0</v>
      </c>
      <c r="D382" s="17">
        <v>0</v>
      </c>
      <c r="E382" s="17">
        <v>48</v>
      </c>
      <c r="F382" s="17">
        <v>175</v>
      </c>
      <c r="G382" s="17">
        <v>79</v>
      </c>
      <c r="H382" s="17">
        <v>15</v>
      </c>
      <c r="I382" s="17">
        <v>298</v>
      </c>
      <c r="J382" s="17">
        <v>100</v>
      </c>
      <c r="K382" s="17">
        <v>715</v>
      </c>
      <c r="L382" s="180"/>
    </row>
    <row r="383" spans="1:12" x14ac:dyDescent="0.45">
      <c r="A383" s="83" t="s">
        <v>44</v>
      </c>
      <c r="B383" s="17">
        <v>0</v>
      </c>
      <c r="C383" s="17">
        <v>0</v>
      </c>
      <c r="D383" s="17">
        <v>0</v>
      </c>
      <c r="E383" s="17">
        <v>0</v>
      </c>
      <c r="F383" s="17">
        <v>0</v>
      </c>
      <c r="G383" s="17">
        <v>0</v>
      </c>
      <c r="H383" s="17">
        <v>2</v>
      </c>
      <c r="I383" s="17">
        <v>1</v>
      </c>
      <c r="J383" s="17">
        <v>0</v>
      </c>
      <c r="K383" s="17">
        <v>3</v>
      </c>
      <c r="L383" s="180"/>
    </row>
    <row r="384" spans="1:12" x14ac:dyDescent="0.45">
      <c r="A384" s="3" t="s">
        <v>10</v>
      </c>
      <c r="B384" s="17">
        <v>0</v>
      </c>
      <c r="C384" s="17">
        <v>0</v>
      </c>
      <c r="D384" s="17">
        <v>0</v>
      </c>
      <c r="E384" s="17">
        <v>4</v>
      </c>
      <c r="F384" s="17">
        <v>32</v>
      </c>
      <c r="G384" s="17">
        <v>49</v>
      </c>
      <c r="H384" s="17">
        <v>1</v>
      </c>
      <c r="I384" s="17">
        <v>6</v>
      </c>
      <c r="J384" s="17">
        <v>0</v>
      </c>
      <c r="K384" s="17">
        <v>92</v>
      </c>
      <c r="L384" s="180"/>
    </row>
    <row r="385" spans="1:12" x14ac:dyDescent="0.45">
      <c r="A385" s="3" t="s">
        <v>11</v>
      </c>
      <c r="B385" s="17">
        <v>0</v>
      </c>
      <c r="C385" s="17">
        <v>0</v>
      </c>
      <c r="D385" s="17">
        <v>0</v>
      </c>
      <c r="E385" s="17">
        <v>0</v>
      </c>
      <c r="F385" s="17">
        <v>186</v>
      </c>
      <c r="G385" s="17">
        <v>6094</v>
      </c>
      <c r="H385" s="17">
        <v>7611</v>
      </c>
      <c r="I385" s="17">
        <v>585</v>
      </c>
      <c r="J385" s="17">
        <v>32</v>
      </c>
      <c r="K385" s="17">
        <v>14508</v>
      </c>
      <c r="L385" s="180"/>
    </row>
    <row r="386" spans="1:12" x14ac:dyDescent="0.45">
      <c r="A386" s="3" t="s">
        <v>12</v>
      </c>
      <c r="B386" s="17">
        <v>0</v>
      </c>
      <c r="C386" s="17">
        <v>0</v>
      </c>
      <c r="D386" s="17">
        <v>0</v>
      </c>
      <c r="E386" s="17">
        <v>0</v>
      </c>
      <c r="F386" s="17">
        <v>0</v>
      </c>
      <c r="G386" s="17">
        <v>96</v>
      </c>
      <c r="H386" s="17">
        <v>53</v>
      </c>
      <c r="I386" s="17">
        <v>13</v>
      </c>
      <c r="J386" s="17">
        <v>2</v>
      </c>
      <c r="K386" s="17">
        <v>164</v>
      </c>
      <c r="L386" s="180"/>
    </row>
    <row r="387" spans="1:12" x14ac:dyDescent="0.45">
      <c r="A387" s="83" t="s">
        <v>32</v>
      </c>
      <c r="B387" s="17">
        <v>0</v>
      </c>
      <c r="C387" s="17">
        <v>0</v>
      </c>
      <c r="D387" s="17">
        <v>0</v>
      </c>
      <c r="E387" s="17">
        <v>0</v>
      </c>
      <c r="F387" s="17">
        <v>0</v>
      </c>
      <c r="G387" s="17">
        <v>3</v>
      </c>
      <c r="H387" s="17">
        <v>5</v>
      </c>
      <c r="I387" s="17">
        <v>2</v>
      </c>
      <c r="J387" s="17">
        <v>0</v>
      </c>
      <c r="K387" s="17">
        <v>10</v>
      </c>
      <c r="L387" s="180"/>
    </row>
    <row r="388" spans="1:12" x14ac:dyDescent="0.45">
      <c r="A388" s="3" t="s">
        <v>18</v>
      </c>
      <c r="B388" s="17">
        <v>0</v>
      </c>
      <c r="C388" s="17">
        <v>0</v>
      </c>
      <c r="D388" s="17">
        <v>0</v>
      </c>
      <c r="E388" s="17">
        <v>1</v>
      </c>
      <c r="F388" s="17">
        <v>13</v>
      </c>
      <c r="G388" s="17">
        <v>93</v>
      </c>
      <c r="H388" s="17">
        <v>73</v>
      </c>
      <c r="I388" s="17">
        <v>220</v>
      </c>
      <c r="J388" s="17">
        <v>4</v>
      </c>
      <c r="K388" s="17">
        <v>404</v>
      </c>
      <c r="L388" s="180"/>
    </row>
    <row r="389" spans="1:12" x14ac:dyDescent="0.45">
      <c r="A389" s="83" t="s">
        <v>46</v>
      </c>
      <c r="B389" s="17">
        <v>0</v>
      </c>
      <c r="C389" s="17">
        <v>0</v>
      </c>
      <c r="D389" s="17">
        <v>0</v>
      </c>
      <c r="E389" s="17">
        <v>1</v>
      </c>
      <c r="F389" s="17">
        <v>0</v>
      </c>
      <c r="G389" s="17">
        <v>0</v>
      </c>
      <c r="H389" s="17">
        <v>0</v>
      </c>
      <c r="I389" s="17">
        <v>0</v>
      </c>
      <c r="J389" s="17">
        <v>0</v>
      </c>
      <c r="K389" s="17">
        <v>1</v>
      </c>
      <c r="L389" s="180"/>
    </row>
    <row r="390" spans="1:12" x14ac:dyDescent="0.45">
      <c r="A390" s="3" t="s">
        <v>13</v>
      </c>
      <c r="B390" s="17">
        <v>0</v>
      </c>
      <c r="C390" s="17">
        <v>0</v>
      </c>
      <c r="D390" s="17">
        <v>0</v>
      </c>
      <c r="E390" s="17">
        <v>0</v>
      </c>
      <c r="F390" s="17">
        <v>0</v>
      </c>
      <c r="G390" s="17">
        <v>1</v>
      </c>
      <c r="H390" s="17">
        <v>2</v>
      </c>
      <c r="I390" s="17">
        <v>8</v>
      </c>
      <c r="J390" s="17">
        <v>0</v>
      </c>
      <c r="K390" s="17">
        <v>11</v>
      </c>
      <c r="L390" s="180"/>
    </row>
    <row r="391" spans="1:12" x14ac:dyDescent="0.45">
      <c r="A391" s="3" t="s">
        <v>14</v>
      </c>
      <c r="B391" s="17">
        <v>0</v>
      </c>
      <c r="C391" s="17">
        <v>2</v>
      </c>
      <c r="D391" s="17">
        <v>3</v>
      </c>
      <c r="E391" s="17">
        <v>0</v>
      </c>
      <c r="F391" s="17">
        <v>7</v>
      </c>
      <c r="G391" s="17">
        <v>460</v>
      </c>
      <c r="H391" s="17">
        <v>431</v>
      </c>
      <c r="I391" s="17">
        <v>25</v>
      </c>
      <c r="J391" s="17">
        <v>0</v>
      </c>
      <c r="K391" s="17">
        <v>928</v>
      </c>
      <c r="L391" s="180"/>
    </row>
    <row r="392" spans="1:12" x14ac:dyDescent="0.45">
      <c r="A392" s="83" t="s">
        <v>40</v>
      </c>
      <c r="B392" s="17">
        <v>5</v>
      </c>
      <c r="C392" s="17">
        <v>1</v>
      </c>
      <c r="D392" s="17">
        <v>0</v>
      </c>
      <c r="E392" s="17">
        <v>0</v>
      </c>
      <c r="F392" s="17">
        <v>0</v>
      </c>
      <c r="G392" s="17">
        <v>4</v>
      </c>
      <c r="H392" s="17">
        <v>1</v>
      </c>
      <c r="I392" s="17">
        <v>1</v>
      </c>
      <c r="J392" s="17">
        <v>0</v>
      </c>
      <c r="K392" s="17">
        <v>12</v>
      </c>
      <c r="L392" s="180"/>
    </row>
    <row r="393" spans="1:12" x14ac:dyDescent="0.45">
      <c r="A393" s="83" t="s">
        <v>52</v>
      </c>
      <c r="B393" s="17">
        <v>0</v>
      </c>
      <c r="C393" s="17">
        <v>0</v>
      </c>
      <c r="D393" s="17">
        <v>0</v>
      </c>
      <c r="E393" s="17">
        <v>0</v>
      </c>
      <c r="F393" s="17">
        <v>0</v>
      </c>
      <c r="G393" s="17">
        <v>0</v>
      </c>
      <c r="H393" s="17">
        <v>0</v>
      </c>
      <c r="I393" s="17">
        <v>0</v>
      </c>
      <c r="J393" s="17">
        <v>0</v>
      </c>
      <c r="K393" s="17">
        <v>0</v>
      </c>
      <c r="L393" s="180"/>
    </row>
    <row r="394" spans="1:12" x14ac:dyDescent="0.45">
      <c r="A394" s="83" t="s">
        <v>53</v>
      </c>
      <c r="B394" s="17">
        <v>0</v>
      </c>
      <c r="C394" s="17">
        <v>0</v>
      </c>
      <c r="D394" s="17">
        <v>0</v>
      </c>
      <c r="E394" s="17">
        <v>0</v>
      </c>
      <c r="F394" s="17">
        <v>0</v>
      </c>
      <c r="G394" s="17">
        <v>0</v>
      </c>
      <c r="H394" s="17">
        <v>0</v>
      </c>
      <c r="I394" s="17">
        <v>0</v>
      </c>
      <c r="J394" s="17">
        <v>0</v>
      </c>
      <c r="K394" s="17">
        <v>0</v>
      </c>
      <c r="L394" s="180"/>
    </row>
    <row r="395" spans="1:12" x14ac:dyDescent="0.45">
      <c r="A395" s="3" t="s">
        <v>15</v>
      </c>
      <c r="B395" s="17">
        <v>0</v>
      </c>
      <c r="C395" s="17">
        <v>0</v>
      </c>
      <c r="D395" s="17">
        <v>0</v>
      </c>
      <c r="E395" s="17">
        <v>0</v>
      </c>
      <c r="F395" s="17">
        <v>0</v>
      </c>
      <c r="G395" s="17">
        <v>16</v>
      </c>
      <c r="H395" s="17">
        <v>0</v>
      </c>
      <c r="I395" s="17">
        <v>8</v>
      </c>
      <c r="J395" s="17">
        <v>0</v>
      </c>
      <c r="K395" s="17">
        <v>24</v>
      </c>
      <c r="L395" s="180"/>
    </row>
    <row r="396" spans="1:12" x14ac:dyDescent="0.45">
      <c r="A396" s="83" t="s">
        <v>54</v>
      </c>
      <c r="B396" s="17">
        <v>0</v>
      </c>
      <c r="C396" s="17">
        <v>0</v>
      </c>
      <c r="D396" s="17">
        <v>0</v>
      </c>
      <c r="E396" s="17">
        <v>0</v>
      </c>
      <c r="F396" s="17">
        <v>0</v>
      </c>
      <c r="G396" s="17">
        <v>7</v>
      </c>
      <c r="H396" s="17">
        <v>0</v>
      </c>
      <c r="I396" s="17">
        <v>0</v>
      </c>
      <c r="J396" s="17">
        <v>0</v>
      </c>
      <c r="K396" s="17">
        <v>7</v>
      </c>
      <c r="L396" s="180"/>
    </row>
    <row r="397" spans="1:12" x14ac:dyDescent="0.45">
      <c r="A397" s="83" t="s">
        <v>47</v>
      </c>
      <c r="B397" s="17">
        <v>0</v>
      </c>
      <c r="C397" s="17">
        <v>0</v>
      </c>
      <c r="D397" s="17">
        <v>0</v>
      </c>
      <c r="E397" s="17">
        <v>2</v>
      </c>
      <c r="F397" s="17">
        <v>36</v>
      </c>
      <c r="G397" s="17">
        <v>41</v>
      </c>
      <c r="H397" s="17">
        <v>44</v>
      </c>
      <c r="I397" s="17">
        <v>16</v>
      </c>
      <c r="J397" s="17">
        <v>0</v>
      </c>
      <c r="K397" s="17">
        <v>139</v>
      </c>
      <c r="L397" s="180"/>
    </row>
    <row r="398" spans="1:12" x14ac:dyDescent="0.45">
      <c r="A398" s="3" t="s">
        <v>16</v>
      </c>
      <c r="B398" s="17">
        <v>0</v>
      </c>
      <c r="C398" s="17">
        <v>0</v>
      </c>
      <c r="D398" s="17">
        <v>0</v>
      </c>
      <c r="E398" s="17">
        <v>0</v>
      </c>
      <c r="F398" s="17">
        <v>0</v>
      </c>
      <c r="G398" s="17">
        <v>0</v>
      </c>
      <c r="H398" s="17">
        <v>0</v>
      </c>
      <c r="I398" s="17">
        <v>0</v>
      </c>
      <c r="J398" s="17">
        <v>0</v>
      </c>
      <c r="K398" s="17">
        <v>0</v>
      </c>
      <c r="L398" s="180"/>
    </row>
    <row r="399" spans="1:12" x14ac:dyDescent="0.45">
      <c r="A399" s="83" t="s">
        <v>55</v>
      </c>
      <c r="B399" s="17">
        <v>0</v>
      </c>
      <c r="C399" s="17">
        <v>0</v>
      </c>
      <c r="D399" s="17">
        <v>0</v>
      </c>
      <c r="E399" s="17">
        <v>0</v>
      </c>
      <c r="F399" s="17">
        <v>0</v>
      </c>
      <c r="G399" s="17">
        <v>0</v>
      </c>
      <c r="H399" s="17">
        <v>0</v>
      </c>
      <c r="I399" s="17">
        <v>0</v>
      </c>
      <c r="J399" s="17">
        <v>0</v>
      </c>
      <c r="K399" s="17">
        <v>0</v>
      </c>
      <c r="L399" s="17"/>
    </row>
    <row r="400" spans="1:12" x14ac:dyDescent="0.45">
      <c r="A400" s="78" t="s">
        <v>17</v>
      </c>
      <c r="B400" s="82">
        <v>0</v>
      </c>
      <c r="C400" s="82">
        <v>0</v>
      </c>
      <c r="D400" s="82">
        <v>0</v>
      </c>
      <c r="E400" s="82">
        <v>0</v>
      </c>
      <c r="F400" s="82">
        <v>0</v>
      </c>
      <c r="G400" s="82">
        <v>1000</v>
      </c>
      <c r="H400" s="82">
        <v>0</v>
      </c>
      <c r="I400" s="82">
        <v>0</v>
      </c>
      <c r="J400" s="82">
        <v>25</v>
      </c>
      <c r="K400" s="82">
        <v>1025</v>
      </c>
      <c r="L400" s="17"/>
    </row>
    <row r="401" spans="1:12" x14ac:dyDescent="0.45">
      <c r="A401" s="10" t="s">
        <v>24</v>
      </c>
      <c r="B401" s="86">
        <v>8</v>
      </c>
      <c r="C401" s="86">
        <v>15</v>
      </c>
      <c r="D401" s="86">
        <v>8</v>
      </c>
      <c r="E401" s="86">
        <v>129</v>
      </c>
      <c r="F401" s="86">
        <v>503</v>
      </c>
      <c r="G401" s="86">
        <v>8177</v>
      </c>
      <c r="H401" s="86">
        <v>8394</v>
      </c>
      <c r="I401" s="86">
        <v>1255</v>
      </c>
      <c r="J401" s="86">
        <v>220</v>
      </c>
      <c r="K401" s="86">
        <v>18709</v>
      </c>
      <c r="L401" s="17"/>
    </row>
    <row r="402" spans="1:12" x14ac:dyDescent="0.45">
      <c r="A402" s="180"/>
      <c r="B402" s="17"/>
      <c r="C402" s="17"/>
      <c r="D402" s="17"/>
      <c r="E402" s="17"/>
      <c r="F402" s="17"/>
      <c r="G402" s="17"/>
      <c r="H402" s="17"/>
      <c r="I402" s="17"/>
      <c r="J402" s="17"/>
      <c r="K402" s="17"/>
      <c r="L402" s="180"/>
    </row>
    <row r="403" spans="1:12" x14ac:dyDescent="0.45">
      <c r="A403" s="9"/>
      <c r="B403" s="17"/>
      <c r="C403" s="180"/>
      <c r="D403" s="180"/>
      <c r="E403" s="180"/>
      <c r="F403" s="180"/>
      <c r="G403" s="180"/>
      <c r="H403" s="180"/>
      <c r="I403" s="180"/>
      <c r="J403" s="180"/>
      <c r="K403" s="180"/>
      <c r="L403" s="17">
        <f>SUM(K445+K488+K531+K574+K617+K660)</f>
        <v>0</v>
      </c>
    </row>
    <row r="404" spans="1:12" x14ac:dyDescent="0.45">
      <c r="A404" s="184" t="s">
        <v>253</v>
      </c>
      <c r="B404" s="1" t="s">
        <v>20</v>
      </c>
      <c r="C404" s="1"/>
      <c r="D404" s="1"/>
      <c r="E404" s="1"/>
      <c r="F404" s="1" t="s">
        <v>21</v>
      </c>
      <c r="G404" s="1"/>
      <c r="H404" s="1"/>
      <c r="I404" s="1"/>
      <c r="J404" s="1"/>
      <c r="K404" s="1"/>
    </row>
    <row r="405" spans="1:12" x14ac:dyDescent="0.45">
      <c r="A405" s="108" t="s">
        <v>19</v>
      </c>
      <c r="B405" s="128">
        <v>13</v>
      </c>
      <c r="C405" s="128">
        <v>18</v>
      </c>
      <c r="D405" s="128">
        <v>23</v>
      </c>
      <c r="E405" s="128">
        <v>28</v>
      </c>
      <c r="F405" s="128">
        <v>3</v>
      </c>
      <c r="G405" s="128">
        <v>8</v>
      </c>
      <c r="H405" s="128">
        <v>13</v>
      </c>
      <c r="I405" s="128">
        <v>18</v>
      </c>
      <c r="J405" s="128">
        <v>23</v>
      </c>
      <c r="K405" s="97" t="s">
        <v>24</v>
      </c>
    </row>
    <row r="406" spans="1:12" x14ac:dyDescent="0.45">
      <c r="A406" s="90" t="s">
        <v>1</v>
      </c>
      <c r="B406" s="86">
        <v>0</v>
      </c>
      <c r="C406" s="86">
        <v>0</v>
      </c>
      <c r="D406" s="86">
        <v>0</v>
      </c>
      <c r="E406" s="86">
        <v>0</v>
      </c>
      <c r="F406" s="86">
        <v>4</v>
      </c>
      <c r="G406" s="86">
        <v>29</v>
      </c>
      <c r="H406" s="86">
        <v>48</v>
      </c>
      <c r="I406" s="86">
        <v>84</v>
      </c>
      <c r="J406" s="86">
        <v>39</v>
      </c>
      <c r="K406" s="86">
        <v>204</v>
      </c>
    </row>
    <row r="407" spans="1:12" x14ac:dyDescent="0.45">
      <c r="A407" s="90" t="s">
        <v>49</v>
      </c>
      <c r="B407" s="86">
        <v>0</v>
      </c>
      <c r="C407" s="86">
        <v>0</v>
      </c>
      <c r="D407" s="86">
        <v>0</v>
      </c>
      <c r="E407" s="86">
        <v>0</v>
      </c>
      <c r="F407" s="86">
        <v>0</v>
      </c>
      <c r="G407" s="86">
        <v>0</v>
      </c>
      <c r="H407" s="86">
        <v>0</v>
      </c>
      <c r="I407" s="86">
        <v>0</v>
      </c>
      <c r="J407" s="86">
        <v>0</v>
      </c>
      <c r="K407" s="86">
        <v>0</v>
      </c>
    </row>
    <row r="408" spans="1:12" x14ac:dyDescent="0.45">
      <c r="A408" s="90" t="s">
        <v>45</v>
      </c>
      <c r="B408" s="86">
        <v>0</v>
      </c>
      <c r="C408" s="86">
        <v>0</v>
      </c>
      <c r="D408" s="86">
        <v>0</v>
      </c>
      <c r="E408" s="86">
        <v>0</v>
      </c>
      <c r="F408" s="86">
        <v>0</v>
      </c>
      <c r="G408" s="86">
        <v>0</v>
      </c>
      <c r="H408" s="86">
        <v>0</v>
      </c>
      <c r="I408" s="86">
        <v>2</v>
      </c>
      <c r="J408" s="86">
        <v>0</v>
      </c>
      <c r="K408" s="86">
        <v>2</v>
      </c>
    </row>
    <row r="409" spans="1:12" x14ac:dyDescent="0.45">
      <c r="A409" s="90" t="s">
        <v>41</v>
      </c>
      <c r="B409" s="86">
        <v>0</v>
      </c>
      <c r="C409" s="86">
        <v>0</v>
      </c>
      <c r="D409" s="86">
        <v>5</v>
      </c>
      <c r="E409" s="86">
        <v>0</v>
      </c>
      <c r="F409" s="86">
        <v>6</v>
      </c>
      <c r="G409" s="86">
        <v>0</v>
      </c>
      <c r="H409" s="86">
        <v>2</v>
      </c>
      <c r="I409" s="86">
        <v>0</v>
      </c>
      <c r="J409" s="86">
        <v>0</v>
      </c>
      <c r="K409" s="86">
        <v>13</v>
      </c>
    </row>
    <row r="410" spans="1:12" x14ac:dyDescent="0.45">
      <c r="A410" s="90" t="s">
        <v>2</v>
      </c>
      <c r="B410" s="86">
        <v>1</v>
      </c>
      <c r="C410" s="86">
        <v>25</v>
      </c>
      <c r="D410" s="86">
        <v>29</v>
      </c>
      <c r="E410" s="86">
        <v>9</v>
      </c>
      <c r="F410" s="86">
        <v>17</v>
      </c>
      <c r="G410" s="86">
        <v>22</v>
      </c>
      <c r="H410" s="86">
        <v>3</v>
      </c>
      <c r="I410" s="86">
        <v>0</v>
      </c>
      <c r="J410" s="86">
        <v>0</v>
      </c>
      <c r="K410" s="86">
        <v>106</v>
      </c>
    </row>
    <row r="411" spans="1:12" x14ac:dyDescent="0.45">
      <c r="A411" s="90" t="s">
        <v>43</v>
      </c>
      <c r="B411" s="86">
        <v>0</v>
      </c>
      <c r="C411" s="86">
        <v>0</v>
      </c>
      <c r="D411" s="86">
        <v>2</v>
      </c>
      <c r="E411" s="86">
        <v>3</v>
      </c>
      <c r="F411" s="86">
        <v>0</v>
      </c>
      <c r="G411" s="86">
        <v>4</v>
      </c>
      <c r="H411" s="86">
        <v>4</v>
      </c>
      <c r="I411" s="86">
        <v>5</v>
      </c>
      <c r="J411" s="86">
        <v>4</v>
      </c>
      <c r="K411" s="86">
        <v>22</v>
      </c>
    </row>
    <row r="412" spans="1:12" x14ac:dyDescent="0.45">
      <c r="A412" s="90" t="s">
        <v>3</v>
      </c>
      <c r="B412" s="86">
        <v>0</v>
      </c>
      <c r="C412" s="86">
        <v>15</v>
      </c>
      <c r="D412" s="86">
        <v>49</v>
      </c>
      <c r="E412" s="86">
        <v>12</v>
      </c>
      <c r="F412" s="86">
        <v>2</v>
      </c>
      <c r="G412" s="86">
        <v>7</v>
      </c>
      <c r="H412" s="86">
        <v>0</v>
      </c>
      <c r="I412" s="86">
        <v>1</v>
      </c>
      <c r="J412" s="86">
        <v>2</v>
      </c>
      <c r="K412" s="86">
        <v>88</v>
      </c>
    </row>
    <row r="413" spans="1:12" x14ac:dyDescent="0.45">
      <c r="A413" s="90" t="s">
        <v>4</v>
      </c>
      <c r="B413" s="86">
        <v>0</v>
      </c>
      <c r="C413" s="86">
        <v>0</v>
      </c>
      <c r="D413" s="86">
        <v>0</v>
      </c>
      <c r="E413" s="86">
        <v>0</v>
      </c>
      <c r="F413" s="86">
        <v>0</v>
      </c>
      <c r="G413" s="86">
        <v>0</v>
      </c>
      <c r="H413" s="86">
        <v>0</v>
      </c>
      <c r="I413" s="86">
        <v>0</v>
      </c>
      <c r="J413" s="86">
        <v>0</v>
      </c>
      <c r="K413" s="86">
        <v>0</v>
      </c>
    </row>
    <row r="414" spans="1:12" x14ac:dyDescent="0.45">
      <c r="A414" s="90" t="s">
        <v>48</v>
      </c>
      <c r="B414" s="86">
        <v>0</v>
      </c>
      <c r="C414" s="86">
        <v>0</v>
      </c>
      <c r="D414" s="86">
        <v>0</v>
      </c>
      <c r="E414" s="86">
        <v>0</v>
      </c>
      <c r="F414" s="86">
        <v>2</v>
      </c>
      <c r="G414" s="86">
        <v>0</v>
      </c>
      <c r="H414" s="86">
        <v>0</v>
      </c>
      <c r="I414" s="86">
        <v>0</v>
      </c>
      <c r="J414" s="86">
        <v>0</v>
      </c>
      <c r="K414" s="86">
        <v>2</v>
      </c>
    </row>
    <row r="415" spans="1:12" x14ac:dyDescent="0.45">
      <c r="A415" s="90" t="s">
        <v>6</v>
      </c>
      <c r="B415" s="86">
        <v>0</v>
      </c>
      <c r="C415" s="86">
        <v>0</v>
      </c>
      <c r="D415" s="86">
        <v>0</v>
      </c>
      <c r="E415" s="86">
        <v>0</v>
      </c>
      <c r="F415" s="86">
        <v>0</v>
      </c>
      <c r="G415" s="86">
        <v>0</v>
      </c>
      <c r="H415" s="86">
        <v>0</v>
      </c>
      <c r="I415" s="86">
        <v>0</v>
      </c>
      <c r="J415" s="86">
        <v>0</v>
      </c>
      <c r="K415" s="86">
        <v>0</v>
      </c>
    </row>
    <row r="416" spans="1:12" x14ac:dyDescent="0.45">
      <c r="A416" s="90" t="s">
        <v>7</v>
      </c>
      <c r="B416" s="86">
        <v>0</v>
      </c>
      <c r="C416" s="86">
        <v>0</v>
      </c>
      <c r="D416" s="86">
        <v>0</v>
      </c>
      <c r="E416" s="86">
        <v>5</v>
      </c>
      <c r="F416" s="86">
        <v>19</v>
      </c>
      <c r="G416" s="86">
        <v>0</v>
      </c>
      <c r="H416" s="86">
        <v>3</v>
      </c>
      <c r="I416" s="86">
        <v>0</v>
      </c>
      <c r="J416" s="86">
        <v>0</v>
      </c>
      <c r="K416" s="86">
        <v>27</v>
      </c>
    </row>
    <row r="417" spans="1:11" x14ac:dyDescent="0.45">
      <c r="A417" s="90" t="s">
        <v>83</v>
      </c>
      <c r="B417" s="86">
        <v>0</v>
      </c>
      <c r="C417" s="86">
        <v>0</v>
      </c>
      <c r="D417" s="86">
        <v>0</v>
      </c>
      <c r="E417" s="86">
        <v>0</v>
      </c>
      <c r="F417" s="86">
        <v>0</v>
      </c>
      <c r="G417" s="86">
        <v>0</v>
      </c>
      <c r="H417" s="86">
        <v>0</v>
      </c>
      <c r="I417" s="86">
        <v>0</v>
      </c>
      <c r="J417" s="86">
        <v>0</v>
      </c>
      <c r="K417" s="86">
        <v>0</v>
      </c>
    </row>
    <row r="418" spans="1:11" x14ac:dyDescent="0.45">
      <c r="A418" s="90" t="s">
        <v>50</v>
      </c>
      <c r="B418" s="86">
        <v>0</v>
      </c>
      <c r="C418" s="86">
        <v>0</v>
      </c>
      <c r="D418" s="86">
        <v>0</v>
      </c>
      <c r="E418" s="86">
        <v>0</v>
      </c>
      <c r="F418" s="86">
        <v>0</v>
      </c>
      <c r="G418" s="86">
        <v>0</v>
      </c>
      <c r="H418" s="86">
        <v>0</v>
      </c>
      <c r="I418" s="86">
        <v>0</v>
      </c>
      <c r="J418" s="86">
        <v>0</v>
      </c>
      <c r="K418" s="86">
        <v>0</v>
      </c>
    </row>
    <row r="419" spans="1:11" x14ac:dyDescent="0.45">
      <c r="A419" s="90" t="s">
        <v>51</v>
      </c>
      <c r="B419" s="86">
        <v>0</v>
      </c>
      <c r="C419" s="86">
        <v>0</v>
      </c>
      <c r="D419" s="86">
        <v>0</v>
      </c>
      <c r="E419" s="86">
        <v>0</v>
      </c>
      <c r="F419" s="86">
        <v>0</v>
      </c>
      <c r="G419" s="86">
        <v>0</v>
      </c>
      <c r="H419" s="86">
        <v>0</v>
      </c>
      <c r="I419" s="86">
        <v>1</v>
      </c>
      <c r="J419" s="86">
        <v>0</v>
      </c>
      <c r="K419" s="86">
        <v>1</v>
      </c>
    </row>
    <row r="420" spans="1:11" x14ac:dyDescent="0.45">
      <c r="A420" s="90" t="s">
        <v>42</v>
      </c>
      <c r="B420" s="86">
        <v>0</v>
      </c>
      <c r="C420" s="86">
        <v>0</v>
      </c>
      <c r="D420" s="86">
        <v>0</v>
      </c>
      <c r="E420" s="86">
        <v>0</v>
      </c>
      <c r="F420" s="86">
        <v>1</v>
      </c>
      <c r="G420" s="86">
        <v>3</v>
      </c>
      <c r="H420" s="86">
        <v>0</v>
      </c>
      <c r="I420" s="86">
        <v>0</v>
      </c>
      <c r="J420" s="86">
        <v>0</v>
      </c>
      <c r="K420" s="86">
        <v>4</v>
      </c>
    </row>
    <row r="421" spans="1:11" x14ac:dyDescent="0.45">
      <c r="A421" s="90" t="s">
        <v>8</v>
      </c>
      <c r="B421" s="86">
        <v>0</v>
      </c>
      <c r="C421" s="86">
        <v>0</v>
      </c>
      <c r="D421" s="86">
        <v>0</v>
      </c>
      <c r="E421" s="86">
        <v>0</v>
      </c>
      <c r="F421" s="86">
        <v>0</v>
      </c>
      <c r="G421" s="86">
        <v>1</v>
      </c>
      <c r="H421" s="86">
        <v>18</v>
      </c>
      <c r="I421" s="86">
        <v>9</v>
      </c>
      <c r="J421" s="86">
        <v>0</v>
      </c>
      <c r="K421" s="86">
        <v>28</v>
      </c>
    </row>
    <row r="422" spans="1:11" x14ac:dyDescent="0.45">
      <c r="A422" s="90" t="s">
        <v>9</v>
      </c>
      <c r="B422" s="86">
        <v>0</v>
      </c>
      <c r="C422" s="86">
        <v>0</v>
      </c>
      <c r="D422" s="86">
        <v>0</v>
      </c>
      <c r="E422" s="86">
        <v>36</v>
      </c>
      <c r="F422" s="86">
        <v>41</v>
      </c>
      <c r="G422" s="86">
        <v>364</v>
      </c>
      <c r="H422" s="86">
        <v>303</v>
      </c>
      <c r="I422" s="86">
        <v>106</v>
      </c>
      <c r="J422" s="86">
        <v>0</v>
      </c>
      <c r="K422" s="86">
        <v>850</v>
      </c>
    </row>
    <row r="423" spans="1:11" x14ac:dyDescent="0.45">
      <c r="A423" s="90" t="s">
        <v>44</v>
      </c>
      <c r="B423" s="86">
        <v>0</v>
      </c>
      <c r="C423" s="86">
        <v>0</v>
      </c>
      <c r="D423" s="86">
        <v>2</v>
      </c>
      <c r="E423" s="86">
        <v>0</v>
      </c>
      <c r="F423" s="86">
        <v>0</v>
      </c>
      <c r="G423" s="86">
        <v>1</v>
      </c>
      <c r="H423" s="86">
        <v>0</v>
      </c>
      <c r="I423" s="86">
        <v>0</v>
      </c>
      <c r="J423" s="86">
        <v>2</v>
      </c>
      <c r="K423" s="86">
        <v>5</v>
      </c>
    </row>
    <row r="424" spans="1:11" x14ac:dyDescent="0.45">
      <c r="A424" s="90" t="s">
        <v>10</v>
      </c>
      <c r="B424" s="86">
        <v>0</v>
      </c>
      <c r="C424" s="86">
        <v>0</v>
      </c>
      <c r="D424" s="86">
        <v>0</v>
      </c>
      <c r="E424" s="86">
        <v>0</v>
      </c>
      <c r="F424" s="86">
        <v>1</v>
      </c>
      <c r="G424" s="86">
        <v>15</v>
      </c>
      <c r="H424" s="86">
        <v>2</v>
      </c>
      <c r="I424" s="86">
        <v>4</v>
      </c>
      <c r="J424" s="86">
        <v>0</v>
      </c>
      <c r="K424" s="86">
        <v>22</v>
      </c>
    </row>
    <row r="425" spans="1:11" x14ac:dyDescent="0.45">
      <c r="A425" s="90" t="s">
        <v>11</v>
      </c>
      <c r="B425" s="86">
        <v>0</v>
      </c>
      <c r="C425" s="86">
        <v>0</v>
      </c>
      <c r="D425" s="86">
        <v>0</v>
      </c>
      <c r="E425" s="86">
        <v>0</v>
      </c>
      <c r="F425" s="86">
        <v>343</v>
      </c>
      <c r="G425" s="86">
        <v>1626</v>
      </c>
      <c r="H425" s="86">
        <v>631</v>
      </c>
      <c r="I425" s="86">
        <v>320</v>
      </c>
      <c r="J425" s="86">
        <v>21</v>
      </c>
      <c r="K425" s="86">
        <v>2941</v>
      </c>
    </row>
    <row r="426" spans="1:11" x14ac:dyDescent="0.45">
      <c r="A426" s="90" t="s">
        <v>12</v>
      </c>
      <c r="B426" s="86">
        <v>0</v>
      </c>
      <c r="C426" s="86">
        <v>0</v>
      </c>
      <c r="D426" s="86">
        <v>0</v>
      </c>
      <c r="E426" s="86">
        <v>0</v>
      </c>
      <c r="F426" s="86">
        <v>24</v>
      </c>
      <c r="G426" s="86">
        <v>18</v>
      </c>
      <c r="H426" s="86">
        <v>15</v>
      </c>
      <c r="I426" s="86">
        <v>8</v>
      </c>
      <c r="J426" s="86">
        <v>1</v>
      </c>
      <c r="K426" s="86">
        <v>66</v>
      </c>
    </row>
    <row r="427" spans="1:11" x14ac:dyDescent="0.45">
      <c r="A427" s="90" t="s">
        <v>32</v>
      </c>
      <c r="B427" s="86">
        <v>0</v>
      </c>
      <c r="C427" s="86">
        <v>0</v>
      </c>
      <c r="D427" s="86">
        <v>0</v>
      </c>
      <c r="E427" s="86">
        <v>0</v>
      </c>
      <c r="F427" s="86">
        <v>0</v>
      </c>
      <c r="G427" s="86">
        <v>0</v>
      </c>
      <c r="H427" s="86">
        <v>0</v>
      </c>
      <c r="I427" s="86">
        <v>0</v>
      </c>
      <c r="J427" s="86">
        <v>0</v>
      </c>
      <c r="K427" s="86">
        <v>0</v>
      </c>
    </row>
    <row r="428" spans="1:11" x14ac:dyDescent="0.45">
      <c r="A428" s="90" t="s">
        <v>18</v>
      </c>
      <c r="B428" s="86">
        <v>0</v>
      </c>
      <c r="C428" s="86">
        <v>0</v>
      </c>
      <c r="D428" s="86">
        <v>0</v>
      </c>
      <c r="E428" s="86">
        <v>0</v>
      </c>
      <c r="F428" s="86">
        <v>70</v>
      </c>
      <c r="G428" s="86">
        <v>410</v>
      </c>
      <c r="H428" s="86">
        <v>334</v>
      </c>
      <c r="I428" s="86">
        <v>106</v>
      </c>
      <c r="J428" s="86">
        <v>2</v>
      </c>
      <c r="K428" s="86">
        <v>922</v>
      </c>
    </row>
    <row r="429" spans="1:11" x14ac:dyDescent="0.45">
      <c r="A429" s="90" t="s">
        <v>46</v>
      </c>
      <c r="B429" s="86">
        <v>0</v>
      </c>
      <c r="C429" s="86">
        <v>0</v>
      </c>
      <c r="D429" s="86">
        <v>0</v>
      </c>
      <c r="E429" s="86">
        <v>0</v>
      </c>
      <c r="F429" s="86">
        <v>0</v>
      </c>
      <c r="G429" s="86">
        <v>0</v>
      </c>
      <c r="H429" s="86">
        <v>0</v>
      </c>
      <c r="I429" s="86">
        <v>1</v>
      </c>
      <c r="J429" s="86">
        <v>0</v>
      </c>
      <c r="K429" s="86">
        <v>1</v>
      </c>
    </row>
    <row r="430" spans="1:11" x14ac:dyDescent="0.45">
      <c r="A430" s="90" t="s">
        <v>13</v>
      </c>
      <c r="B430" s="86">
        <v>0</v>
      </c>
      <c r="C430" s="86">
        <v>0</v>
      </c>
      <c r="D430" s="86">
        <v>0</v>
      </c>
      <c r="E430" s="86">
        <v>0</v>
      </c>
      <c r="F430" s="86">
        <v>0</v>
      </c>
      <c r="G430" s="86">
        <v>0</v>
      </c>
      <c r="H430" s="86">
        <v>0</v>
      </c>
      <c r="I430" s="86">
        <v>40</v>
      </c>
      <c r="J430" s="86">
        <v>0</v>
      </c>
      <c r="K430" s="86">
        <v>40</v>
      </c>
    </row>
    <row r="431" spans="1:11" x14ac:dyDescent="0.45">
      <c r="A431" s="90" t="s">
        <v>14</v>
      </c>
      <c r="B431" s="86">
        <v>0</v>
      </c>
      <c r="C431" s="86">
        <v>0</v>
      </c>
      <c r="D431" s="86">
        <v>0</v>
      </c>
      <c r="E431" s="86">
        <v>0</v>
      </c>
      <c r="F431" s="86">
        <v>206</v>
      </c>
      <c r="G431" s="86">
        <v>256</v>
      </c>
      <c r="H431" s="86">
        <v>89</v>
      </c>
      <c r="I431" s="86">
        <v>28</v>
      </c>
      <c r="J431" s="86">
        <v>0</v>
      </c>
      <c r="K431" s="86">
        <v>579</v>
      </c>
    </row>
    <row r="432" spans="1:11" x14ac:dyDescent="0.45">
      <c r="A432" s="90" t="s">
        <v>40</v>
      </c>
      <c r="B432" s="86">
        <v>1</v>
      </c>
      <c r="C432" s="86">
        <v>0</v>
      </c>
      <c r="D432" s="86">
        <v>1</v>
      </c>
      <c r="E432" s="86">
        <v>0</v>
      </c>
      <c r="F432" s="86">
        <v>0</v>
      </c>
      <c r="G432" s="86">
        <v>0</v>
      </c>
      <c r="H432" s="86">
        <v>0</v>
      </c>
      <c r="I432" s="86">
        <v>1</v>
      </c>
      <c r="J432" s="86">
        <v>0</v>
      </c>
      <c r="K432" s="86">
        <v>3</v>
      </c>
    </row>
    <row r="433" spans="1:11" x14ac:dyDescent="0.45">
      <c r="A433" s="90" t="s">
        <v>52</v>
      </c>
      <c r="B433" s="86">
        <v>0</v>
      </c>
      <c r="C433" s="86">
        <v>0</v>
      </c>
      <c r="D433" s="86">
        <v>0</v>
      </c>
      <c r="E433" s="86">
        <v>0</v>
      </c>
      <c r="F433" s="86">
        <v>0</v>
      </c>
      <c r="G433" s="86">
        <v>0</v>
      </c>
      <c r="H433" s="86">
        <v>0</v>
      </c>
      <c r="I433" s="86">
        <v>0</v>
      </c>
      <c r="J433" s="86">
        <v>0</v>
      </c>
      <c r="K433" s="86">
        <v>0</v>
      </c>
    </row>
    <row r="434" spans="1:11" x14ac:dyDescent="0.45">
      <c r="A434" s="90" t="s">
        <v>53</v>
      </c>
      <c r="B434" s="86">
        <v>0</v>
      </c>
      <c r="C434" s="86">
        <v>0</v>
      </c>
      <c r="D434" s="86">
        <v>0</v>
      </c>
      <c r="E434" s="86">
        <v>0</v>
      </c>
      <c r="F434" s="86">
        <v>0</v>
      </c>
      <c r="G434" s="86">
        <v>0</v>
      </c>
      <c r="H434" s="86">
        <v>0</v>
      </c>
      <c r="I434" s="86">
        <v>0</v>
      </c>
      <c r="J434" s="86">
        <v>0</v>
      </c>
      <c r="K434" s="86">
        <v>0</v>
      </c>
    </row>
    <row r="435" spans="1:11" x14ac:dyDescent="0.45">
      <c r="A435" s="90" t="s">
        <v>15</v>
      </c>
      <c r="B435" s="86">
        <v>0</v>
      </c>
      <c r="C435" s="86">
        <v>0</v>
      </c>
      <c r="D435" s="86">
        <v>0</v>
      </c>
      <c r="E435" s="86">
        <v>0</v>
      </c>
      <c r="F435" s="86">
        <v>0</v>
      </c>
      <c r="G435" s="86">
        <v>0</v>
      </c>
      <c r="H435" s="86">
        <v>0</v>
      </c>
      <c r="I435" s="86">
        <v>0</v>
      </c>
      <c r="J435" s="86">
        <v>2</v>
      </c>
      <c r="K435" s="86">
        <v>2</v>
      </c>
    </row>
    <row r="436" spans="1:11" x14ac:dyDescent="0.45">
      <c r="A436" s="90" t="s">
        <v>54</v>
      </c>
      <c r="B436" s="86">
        <v>0</v>
      </c>
      <c r="C436" s="86">
        <v>0</v>
      </c>
      <c r="D436" s="86">
        <v>0</v>
      </c>
      <c r="E436" s="86">
        <v>0</v>
      </c>
      <c r="F436" s="86">
        <v>0</v>
      </c>
      <c r="G436" s="86">
        <v>0</v>
      </c>
      <c r="H436" s="86">
        <v>0</v>
      </c>
      <c r="I436" s="86">
        <v>0</v>
      </c>
      <c r="J436" s="86">
        <v>3</v>
      </c>
      <c r="K436" s="86">
        <v>3</v>
      </c>
    </row>
    <row r="437" spans="1:11" x14ac:dyDescent="0.45">
      <c r="A437" s="90" t="s">
        <v>47</v>
      </c>
      <c r="B437" s="86">
        <v>0</v>
      </c>
      <c r="C437" s="86">
        <v>0</v>
      </c>
      <c r="D437" s="86">
        <v>0</v>
      </c>
      <c r="E437" s="86">
        <v>0</v>
      </c>
      <c r="F437" s="86">
        <v>33</v>
      </c>
      <c r="G437" s="86">
        <v>53</v>
      </c>
      <c r="H437" s="86">
        <v>68</v>
      </c>
      <c r="I437" s="86">
        <v>22</v>
      </c>
      <c r="J437" s="86">
        <v>0</v>
      </c>
      <c r="K437" s="86">
        <v>176</v>
      </c>
    </row>
    <row r="438" spans="1:11" x14ac:dyDescent="0.45">
      <c r="A438" s="90" t="s">
        <v>16</v>
      </c>
      <c r="B438" s="86">
        <v>0</v>
      </c>
      <c r="C438" s="86">
        <v>0</v>
      </c>
      <c r="D438" s="86">
        <v>1</v>
      </c>
      <c r="E438" s="86">
        <v>0</v>
      </c>
      <c r="F438" s="86">
        <v>0</v>
      </c>
      <c r="G438" s="86">
        <v>0</v>
      </c>
      <c r="H438" s="86">
        <v>1</v>
      </c>
      <c r="I438" s="86">
        <v>1</v>
      </c>
      <c r="J438" s="86">
        <v>0</v>
      </c>
      <c r="K438" s="86">
        <v>3</v>
      </c>
    </row>
    <row r="439" spans="1:11" x14ac:dyDescent="0.45">
      <c r="A439" s="90" t="s">
        <v>55</v>
      </c>
      <c r="B439" s="86">
        <v>0</v>
      </c>
      <c r="C439" s="86">
        <v>0</v>
      </c>
      <c r="D439" s="86">
        <v>0</v>
      </c>
      <c r="E439" s="86">
        <v>0</v>
      </c>
      <c r="F439" s="86">
        <v>0</v>
      </c>
      <c r="G439" s="86">
        <v>0</v>
      </c>
      <c r="H439" s="86">
        <v>0</v>
      </c>
      <c r="I439" s="86">
        <v>0</v>
      </c>
      <c r="J439" s="86">
        <v>0</v>
      </c>
      <c r="K439" s="86">
        <v>0</v>
      </c>
    </row>
    <row r="440" spans="1:11" x14ac:dyDescent="0.45">
      <c r="A440" s="90" t="s">
        <v>17</v>
      </c>
      <c r="B440" s="86">
        <v>0</v>
      </c>
      <c r="C440" s="86">
        <v>0</v>
      </c>
      <c r="D440" s="86">
        <v>0</v>
      </c>
      <c r="E440" s="86">
        <v>0</v>
      </c>
      <c r="F440" s="86">
        <v>0</v>
      </c>
      <c r="G440" s="86">
        <v>1000</v>
      </c>
      <c r="H440" s="86">
        <v>0</v>
      </c>
      <c r="I440" s="86">
        <v>512</v>
      </c>
      <c r="J440" s="86">
        <v>1001</v>
      </c>
      <c r="K440" s="86">
        <v>2513</v>
      </c>
    </row>
    <row r="441" spans="1:11" x14ac:dyDescent="0.45">
      <c r="A441" s="170" t="s">
        <v>24</v>
      </c>
      <c r="B441" s="160">
        <v>2</v>
      </c>
      <c r="C441" s="160">
        <v>40</v>
      </c>
      <c r="D441" s="160">
        <v>89</v>
      </c>
      <c r="E441" s="160">
        <v>65</v>
      </c>
      <c r="F441" s="160">
        <v>769</v>
      </c>
      <c r="G441" s="160">
        <v>3809</v>
      </c>
      <c r="H441" s="160">
        <v>1521</v>
      </c>
      <c r="I441" s="160">
        <v>1251</v>
      </c>
      <c r="J441" s="160">
        <v>1077</v>
      </c>
      <c r="K441" s="160">
        <v>8623</v>
      </c>
    </row>
  </sheetData>
  <sortState xmlns:xlrd2="http://schemas.microsoft.com/office/spreadsheetml/2017/richdata2" ref="M7:Y40">
    <sortCondition descending="1" ref="Y7:Y40"/>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G308"/>
  <sheetViews>
    <sheetView workbookViewId="0"/>
  </sheetViews>
  <sheetFormatPr defaultRowHeight="14.25" x14ac:dyDescent="0.45"/>
  <cols>
    <col min="1" max="1" width="25.73046875" customWidth="1"/>
    <col min="2" max="11" width="10.73046875" customWidth="1"/>
    <col min="14" max="14" width="6.59765625" customWidth="1"/>
    <col min="15" max="15" width="25.73046875" customWidth="1"/>
    <col min="16" max="19" width="10.73046875" customWidth="1"/>
    <col min="20" max="20" width="10.73046875" style="180" customWidth="1"/>
    <col min="21" max="21" width="10.73046875" customWidth="1"/>
    <col min="22" max="22" width="10.73046875" style="180" customWidth="1"/>
    <col min="23" max="24" width="10.73046875" customWidth="1"/>
    <col min="27" max="27" width="25.73046875" customWidth="1"/>
    <col min="28" max="37" width="10.73046875" customWidth="1"/>
    <col min="38" max="38" width="9.265625" bestFit="1" customWidth="1"/>
    <col min="39" max="41" width="9.265625" customWidth="1"/>
    <col min="42" max="42" width="6.59765625" customWidth="1"/>
    <col min="43" max="43" width="25.73046875" customWidth="1"/>
    <col min="44" max="45" width="10.73046875" customWidth="1"/>
    <col min="46" max="46" width="10.73046875" style="180" customWidth="1"/>
    <col min="47" max="49" width="10.73046875" customWidth="1"/>
    <col min="50" max="50" width="10.73046875" style="180" customWidth="1"/>
    <col min="51" max="52" width="10.73046875" customWidth="1"/>
    <col min="53" max="53" width="9.3984375" bestFit="1" customWidth="1"/>
    <col min="54" max="55" width="10.59765625" bestFit="1" customWidth="1"/>
    <col min="56" max="56" width="11.59765625" bestFit="1" customWidth="1"/>
    <col min="57" max="57" width="9.3984375" bestFit="1" customWidth="1"/>
    <col min="58" max="58" width="11.59765625" bestFit="1" customWidth="1"/>
  </cols>
  <sheetData>
    <row r="1" spans="1:85" x14ac:dyDescent="0.45">
      <c r="A1" s="1" t="s">
        <v>181</v>
      </c>
    </row>
    <row r="2" spans="1:85" x14ac:dyDescent="0.45">
      <c r="AB2" s="2"/>
      <c r="AC2" s="2"/>
      <c r="AD2" s="2"/>
      <c r="AE2" s="2"/>
      <c r="AF2" s="2"/>
      <c r="AG2" s="2"/>
      <c r="AH2" s="2"/>
      <c r="AI2" s="2"/>
      <c r="AJ2" s="2"/>
      <c r="AK2" s="2"/>
      <c r="AL2" s="2"/>
      <c r="AM2" s="2"/>
      <c r="AN2" s="2"/>
      <c r="AO2" s="2"/>
      <c r="AP2" s="2"/>
      <c r="AQ2" s="2"/>
      <c r="AR2" s="2"/>
      <c r="AS2" s="2"/>
      <c r="AU2" s="2"/>
      <c r="AV2" s="2"/>
      <c r="AW2" s="2"/>
      <c r="AY2" s="2"/>
      <c r="AZ2" s="2"/>
      <c r="BA2" s="2"/>
      <c r="BB2" s="2"/>
    </row>
    <row r="3" spans="1:85" x14ac:dyDescent="0.45">
      <c r="A3" s="1" t="s">
        <v>160</v>
      </c>
      <c r="B3" s="2"/>
      <c r="C3" s="2"/>
      <c r="D3" s="2"/>
      <c r="E3" s="2"/>
      <c r="F3" s="2"/>
      <c r="G3" s="2"/>
      <c r="H3" s="2"/>
      <c r="I3" s="2"/>
      <c r="J3" s="2"/>
      <c r="K3" s="2"/>
      <c r="L3" s="2"/>
      <c r="M3" s="2"/>
      <c r="N3" s="2"/>
      <c r="O3" s="2"/>
      <c r="P3" s="2"/>
      <c r="Q3" s="2"/>
      <c r="R3" s="2"/>
      <c r="S3" s="2"/>
      <c r="U3" s="2"/>
      <c r="W3" s="2"/>
      <c r="X3" s="2"/>
      <c r="Y3" s="2"/>
      <c r="AB3" s="2"/>
      <c r="AC3" s="2"/>
      <c r="AD3" s="2"/>
      <c r="AE3" s="2"/>
      <c r="AF3" s="2"/>
      <c r="AG3" s="2"/>
      <c r="AH3" s="2"/>
      <c r="AI3" s="2"/>
      <c r="AJ3" s="2"/>
      <c r="AK3" s="2"/>
      <c r="AL3" s="2"/>
      <c r="AM3" s="2"/>
      <c r="AN3" s="2"/>
      <c r="AO3" s="2"/>
      <c r="AP3" s="2"/>
      <c r="AQ3" s="2"/>
      <c r="AR3" s="2"/>
      <c r="AS3" s="2"/>
      <c r="AU3" s="2"/>
      <c r="AV3" s="2"/>
      <c r="AW3" s="2"/>
      <c r="AY3" s="2"/>
      <c r="AZ3" s="2"/>
      <c r="BA3" s="2"/>
      <c r="BB3" s="2"/>
      <c r="BV3" s="2"/>
      <c r="BW3" s="2"/>
      <c r="BX3" s="2"/>
      <c r="BY3" s="2"/>
      <c r="BZ3" s="2"/>
      <c r="CA3" s="2"/>
      <c r="CB3" s="2"/>
      <c r="CC3" s="2"/>
      <c r="CD3" s="2"/>
      <c r="CE3" s="2"/>
      <c r="CF3" s="2"/>
      <c r="CG3" s="2"/>
    </row>
    <row r="4" spans="1:85" x14ac:dyDescent="0.45">
      <c r="A4" s="1" t="s">
        <v>138</v>
      </c>
      <c r="B4" s="2"/>
      <c r="C4" s="2"/>
      <c r="D4" s="2"/>
      <c r="E4" s="2"/>
      <c r="F4" s="2"/>
      <c r="G4" s="2"/>
      <c r="H4" s="2"/>
      <c r="I4" s="2"/>
      <c r="J4" s="2"/>
      <c r="K4" s="2"/>
      <c r="L4" s="2"/>
      <c r="M4" s="2"/>
      <c r="N4" s="2"/>
      <c r="O4" s="2"/>
      <c r="P4" s="2"/>
      <c r="Q4" s="2"/>
      <c r="R4" s="2"/>
      <c r="S4" s="2"/>
      <c r="U4" s="2"/>
      <c r="W4" s="2"/>
      <c r="X4" s="2"/>
      <c r="Y4" s="2"/>
      <c r="AA4" s="1" t="s">
        <v>160</v>
      </c>
      <c r="AB4" s="2"/>
      <c r="AC4" s="2"/>
      <c r="AD4" s="2"/>
      <c r="AE4" s="2"/>
      <c r="AF4" s="2"/>
      <c r="AG4" s="2"/>
      <c r="AH4" s="2"/>
      <c r="AI4" s="2"/>
      <c r="AJ4" s="2"/>
      <c r="AK4" s="2"/>
      <c r="AL4" s="2"/>
      <c r="AM4" s="2"/>
      <c r="AN4" s="2"/>
      <c r="AO4" s="2"/>
      <c r="AP4" s="2"/>
      <c r="AQ4" s="2"/>
      <c r="AR4" s="2"/>
      <c r="AS4" s="2"/>
      <c r="AU4" s="2"/>
      <c r="AV4" s="2"/>
      <c r="AW4" s="2"/>
      <c r="AY4" s="2"/>
      <c r="AZ4" s="2"/>
      <c r="BA4" s="2"/>
      <c r="BB4" s="2"/>
      <c r="BV4" s="2"/>
      <c r="BW4" s="2"/>
      <c r="BX4" s="2"/>
      <c r="BY4" s="2"/>
      <c r="BZ4" s="2"/>
      <c r="CA4" s="2"/>
      <c r="CB4" s="2"/>
      <c r="CC4" s="2"/>
      <c r="CD4" s="2"/>
      <c r="CE4" s="2"/>
      <c r="CF4" s="2"/>
      <c r="CG4" s="2"/>
    </row>
    <row r="5" spans="1:85" x14ac:dyDescent="0.45">
      <c r="A5" s="2" t="s">
        <v>31</v>
      </c>
      <c r="B5" s="2"/>
      <c r="C5" s="2"/>
      <c r="D5" s="2"/>
      <c r="E5" s="2"/>
      <c r="F5" s="2"/>
      <c r="G5" s="2"/>
      <c r="H5" s="2"/>
      <c r="I5" s="2"/>
      <c r="J5" s="2"/>
      <c r="K5" s="2"/>
      <c r="L5" s="2"/>
      <c r="M5" s="2"/>
      <c r="N5" s="2"/>
      <c r="O5" s="2"/>
      <c r="P5" s="2"/>
      <c r="Q5" s="2"/>
      <c r="R5" s="2"/>
      <c r="S5" s="2"/>
      <c r="U5" s="2"/>
      <c r="W5" s="2"/>
      <c r="X5" s="2"/>
      <c r="Y5" s="2"/>
      <c r="AA5" s="1" t="s">
        <v>148</v>
      </c>
      <c r="AB5" s="2"/>
      <c r="AC5" s="2"/>
      <c r="AD5" s="2"/>
      <c r="AE5" s="2"/>
      <c r="AF5" s="2"/>
      <c r="AG5" s="2"/>
      <c r="AH5" s="2"/>
      <c r="AI5" s="2"/>
      <c r="AJ5" s="2"/>
      <c r="AK5" s="2"/>
      <c r="AL5" s="2"/>
      <c r="AM5" s="2"/>
      <c r="BV5" s="2"/>
      <c r="BW5" s="1"/>
      <c r="BX5" s="2"/>
      <c r="BY5" s="2"/>
      <c r="BZ5" s="2"/>
      <c r="CA5" s="2"/>
      <c r="CB5" s="2"/>
      <c r="CC5" s="2"/>
      <c r="CD5" s="2"/>
      <c r="CE5" s="2"/>
      <c r="CF5" s="2"/>
      <c r="CG5" s="2"/>
    </row>
    <row r="6" spans="1:85" x14ac:dyDescent="0.45">
      <c r="A6" s="2"/>
      <c r="B6" s="2"/>
      <c r="C6" s="2"/>
      <c r="D6" s="2"/>
      <c r="E6" s="2"/>
      <c r="F6" s="2"/>
      <c r="G6" s="2"/>
      <c r="H6" s="2"/>
      <c r="I6" s="2"/>
      <c r="J6" s="2"/>
      <c r="K6" s="2"/>
      <c r="L6" s="2"/>
      <c r="M6" s="2"/>
      <c r="N6" s="2"/>
      <c r="P6" s="2"/>
      <c r="Q6" s="2"/>
      <c r="R6" s="2"/>
      <c r="S6" s="2"/>
      <c r="U6" s="2"/>
      <c r="W6" s="2"/>
      <c r="X6" s="2"/>
      <c r="Y6" s="2"/>
      <c r="AA6" s="2" t="s">
        <v>31</v>
      </c>
      <c r="AB6" s="2"/>
      <c r="AC6" s="2"/>
      <c r="AD6" s="2"/>
      <c r="AE6" s="2"/>
      <c r="AF6" s="2"/>
      <c r="AG6" s="2"/>
      <c r="AH6" s="2"/>
      <c r="AI6" s="2"/>
      <c r="AJ6" s="2"/>
      <c r="AK6" s="2"/>
      <c r="AL6" s="2"/>
      <c r="AM6" s="2"/>
      <c r="BV6" s="2"/>
      <c r="BW6" s="1"/>
      <c r="BX6" s="2"/>
      <c r="BY6" s="2"/>
      <c r="BZ6" s="2"/>
      <c r="CA6" s="2"/>
      <c r="CB6" s="2"/>
      <c r="CC6" s="2"/>
      <c r="CD6" s="2"/>
      <c r="CE6" s="2"/>
      <c r="CF6" s="2"/>
      <c r="CG6" s="2"/>
    </row>
    <row r="7" spans="1:85" x14ac:dyDescent="0.45">
      <c r="A7" s="2" t="s">
        <v>161</v>
      </c>
      <c r="B7" s="2"/>
      <c r="C7" s="2"/>
      <c r="D7" s="2"/>
      <c r="E7" s="2"/>
      <c r="F7" s="2"/>
      <c r="G7" s="2"/>
      <c r="H7" s="2"/>
      <c r="I7" s="2"/>
      <c r="J7" s="2"/>
      <c r="K7" s="2"/>
      <c r="L7" s="2"/>
      <c r="M7" s="2"/>
      <c r="N7" s="2"/>
      <c r="O7" s="1" t="s">
        <v>255</v>
      </c>
      <c r="P7" s="2"/>
      <c r="Q7" s="2"/>
      <c r="R7" s="2"/>
      <c r="S7" s="2"/>
      <c r="U7" s="2"/>
      <c r="W7" s="2"/>
      <c r="X7" s="2"/>
      <c r="Y7" s="2"/>
      <c r="AA7" s="2"/>
      <c r="AB7" s="2"/>
      <c r="AC7" s="2"/>
      <c r="AD7" s="2"/>
      <c r="AE7" s="2"/>
      <c r="AF7" s="2"/>
      <c r="AG7" s="2"/>
      <c r="AH7" s="2"/>
      <c r="AI7" s="2"/>
      <c r="AJ7" s="2"/>
      <c r="AK7" s="2"/>
      <c r="AL7" s="2"/>
      <c r="AM7" s="2"/>
      <c r="AQ7" s="1" t="s">
        <v>255</v>
      </c>
      <c r="BV7" s="2"/>
      <c r="BW7" s="2"/>
      <c r="BX7" s="2"/>
      <c r="BY7" s="2"/>
      <c r="BZ7" s="2"/>
      <c r="CA7" s="2"/>
      <c r="CB7" s="2"/>
      <c r="CC7" s="2"/>
      <c r="CD7" s="2"/>
      <c r="CE7" s="2"/>
      <c r="CF7" s="2"/>
      <c r="CG7" s="2"/>
    </row>
    <row r="8" spans="1:85" x14ac:dyDescent="0.45">
      <c r="A8" s="2" t="s">
        <v>162</v>
      </c>
      <c r="B8" s="2"/>
      <c r="C8" s="2"/>
      <c r="D8" s="2"/>
      <c r="E8" s="2"/>
      <c r="F8" s="2"/>
      <c r="G8" s="2"/>
      <c r="H8" s="2"/>
      <c r="I8" s="2"/>
      <c r="J8" s="2"/>
      <c r="K8" s="2"/>
      <c r="L8" s="2"/>
      <c r="M8" s="2"/>
      <c r="N8" s="2"/>
      <c r="O8" s="1" t="s">
        <v>138</v>
      </c>
      <c r="P8" s="2"/>
      <c r="Q8" s="2"/>
      <c r="R8" s="2"/>
      <c r="S8" s="2"/>
      <c r="U8" s="2"/>
      <c r="W8" s="2"/>
      <c r="X8" s="2"/>
      <c r="Y8" s="2"/>
      <c r="AA8" s="112" t="s">
        <v>164</v>
      </c>
      <c r="AB8" s="2"/>
      <c r="AC8" s="2"/>
      <c r="AD8" s="2"/>
      <c r="AE8" s="2"/>
      <c r="AF8" s="2"/>
      <c r="AG8" s="2"/>
      <c r="AH8" s="2"/>
      <c r="AI8" s="2"/>
      <c r="AJ8" s="2"/>
      <c r="AK8" s="2"/>
      <c r="AL8" s="2"/>
      <c r="AM8" s="2"/>
      <c r="AQ8" s="1" t="s">
        <v>153</v>
      </c>
      <c r="AT8"/>
      <c r="AV8" s="180"/>
      <c r="BV8" s="2"/>
    </row>
    <row r="9" spans="1:85" x14ac:dyDescent="0.45">
      <c r="A9" s="2"/>
      <c r="B9" s="2"/>
      <c r="C9" s="2"/>
      <c r="D9" s="2"/>
      <c r="E9" s="2"/>
      <c r="F9" s="2"/>
      <c r="G9" s="2"/>
      <c r="H9" s="2"/>
      <c r="I9" s="2"/>
      <c r="J9" s="2"/>
      <c r="K9" s="2"/>
      <c r="L9" s="2"/>
      <c r="M9" s="2"/>
      <c r="N9" s="73"/>
      <c r="O9" s="14" t="s">
        <v>150</v>
      </c>
      <c r="P9" s="14"/>
      <c r="Q9" s="14"/>
      <c r="R9" s="14"/>
      <c r="S9" s="2"/>
      <c r="U9" s="2"/>
      <c r="W9" s="2"/>
      <c r="X9" s="2"/>
      <c r="Y9" s="2"/>
      <c r="AA9" s="2" t="s">
        <v>165</v>
      </c>
      <c r="AB9" s="2"/>
      <c r="AC9" s="2"/>
      <c r="AD9" s="2"/>
      <c r="AE9" s="2"/>
      <c r="AF9" s="2"/>
      <c r="AG9" s="2"/>
      <c r="AH9" s="2"/>
      <c r="AI9" s="2"/>
      <c r="AJ9" s="2"/>
      <c r="AK9" s="2"/>
      <c r="AL9" s="2"/>
      <c r="AM9" s="2"/>
      <c r="AP9" s="2"/>
      <c r="AQ9" s="14" t="s">
        <v>150</v>
      </c>
      <c r="AR9" s="2"/>
      <c r="AS9" s="2"/>
      <c r="AT9" s="2"/>
      <c r="AU9" s="2"/>
      <c r="AV9" s="180"/>
      <c r="AW9" s="2"/>
      <c r="AY9" s="2"/>
      <c r="AZ9" s="2"/>
      <c r="BA9" s="2"/>
      <c r="BB9" s="2"/>
      <c r="BV9" s="2"/>
    </row>
    <row r="10" spans="1:85" x14ac:dyDescent="0.45">
      <c r="A10" s="2"/>
      <c r="B10" s="1" t="s">
        <v>20</v>
      </c>
      <c r="C10" s="2"/>
      <c r="D10" s="2"/>
      <c r="E10" s="1"/>
      <c r="F10" s="1" t="s">
        <v>21</v>
      </c>
      <c r="G10" s="2"/>
      <c r="H10" s="2"/>
      <c r="I10" s="2"/>
      <c r="J10" s="2"/>
      <c r="K10" s="2"/>
      <c r="L10" s="2"/>
      <c r="M10" s="2"/>
      <c r="N10" s="73"/>
      <c r="U10" s="1"/>
      <c r="V10" s="1"/>
      <c r="W10" s="2"/>
      <c r="X10" s="2"/>
      <c r="Y10" s="2"/>
      <c r="AL10" s="2"/>
      <c r="AM10" s="2"/>
      <c r="AP10" s="2"/>
      <c r="AR10" s="1"/>
      <c r="AS10" s="2"/>
      <c r="AT10" s="2"/>
      <c r="AU10" s="2"/>
      <c r="AV10" s="180"/>
      <c r="AW10" s="2"/>
      <c r="AY10" s="2"/>
      <c r="AZ10" s="2"/>
      <c r="BA10" s="2"/>
      <c r="BB10" s="2"/>
      <c r="BV10" s="2"/>
    </row>
    <row r="11" spans="1:85" x14ac:dyDescent="0.45">
      <c r="A11" s="26" t="s">
        <v>19</v>
      </c>
      <c r="B11" s="5">
        <v>13</v>
      </c>
      <c r="C11" s="5">
        <v>18</v>
      </c>
      <c r="D11" s="5">
        <v>23</v>
      </c>
      <c r="E11" s="5">
        <v>28</v>
      </c>
      <c r="F11" s="5">
        <v>3</v>
      </c>
      <c r="G11" s="5">
        <v>8</v>
      </c>
      <c r="H11" s="5">
        <v>13</v>
      </c>
      <c r="I11" s="5">
        <v>18</v>
      </c>
      <c r="J11" s="5">
        <v>23</v>
      </c>
      <c r="K11" s="7" t="s">
        <v>24</v>
      </c>
      <c r="L11" s="2"/>
      <c r="M11" s="2"/>
      <c r="N11" s="22" t="s">
        <v>141</v>
      </c>
      <c r="O11" s="108" t="s">
        <v>19</v>
      </c>
      <c r="P11" s="155">
        <v>2013</v>
      </c>
      <c r="Q11" s="97">
        <v>2014</v>
      </c>
      <c r="R11" s="97">
        <v>2015</v>
      </c>
      <c r="S11" s="174">
        <v>2016</v>
      </c>
      <c r="T11" s="174">
        <v>2017</v>
      </c>
      <c r="U11" s="174">
        <v>2018</v>
      </c>
      <c r="V11" s="174">
        <v>2019</v>
      </c>
      <c r="W11" s="97" t="s">
        <v>61</v>
      </c>
      <c r="Z11" s="73" t="s">
        <v>141</v>
      </c>
      <c r="AA11" s="108" t="s">
        <v>39</v>
      </c>
      <c r="AB11" s="152">
        <v>41390</v>
      </c>
      <c r="AC11" s="152">
        <v>41394</v>
      </c>
      <c r="AD11" s="152">
        <v>41396</v>
      </c>
      <c r="AE11" s="152">
        <v>41398</v>
      </c>
      <c r="AF11" s="152">
        <v>41402</v>
      </c>
      <c r="AG11" s="152">
        <v>41404</v>
      </c>
      <c r="AH11" s="152">
        <v>41407</v>
      </c>
      <c r="AI11" s="152">
        <v>41411</v>
      </c>
      <c r="AJ11" s="152">
        <v>41417</v>
      </c>
      <c r="AK11" s="97" t="s">
        <v>144</v>
      </c>
      <c r="AL11" s="2"/>
      <c r="AM11" s="2"/>
      <c r="AP11" s="22" t="s">
        <v>141</v>
      </c>
      <c r="AQ11" s="108" t="s">
        <v>19</v>
      </c>
      <c r="AR11" s="155">
        <v>2013</v>
      </c>
      <c r="AS11" s="97">
        <v>2014</v>
      </c>
      <c r="AT11" s="97">
        <v>2015</v>
      </c>
      <c r="AU11" s="174">
        <v>2016</v>
      </c>
      <c r="AV11" s="174">
        <v>2017</v>
      </c>
      <c r="AW11" s="174">
        <v>2018</v>
      </c>
      <c r="AX11" s="174">
        <v>2019</v>
      </c>
      <c r="AY11" s="97" t="s">
        <v>61</v>
      </c>
      <c r="BB11" s="2"/>
      <c r="BV11" s="2"/>
    </row>
    <row r="12" spans="1:85" ht="15" customHeight="1" x14ac:dyDescent="0.45">
      <c r="A12" s="3" t="s">
        <v>1</v>
      </c>
      <c r="B12" s="77">
        <v>0</v>
      </c>
      <c r="C12" s="77">
        <v>0</v>
      </c>
      <c r="D12" s="77">
        <v>0</v>
      </c>
      <c r="E12" s="77">
        <v>0</v>
      </c>
      <c r="F12" s="77">
        <v>0</v>
      </c>
      <c r="G12" s="77">
        <v>0</v>
      </c>
      <c r="H12" s="77">
        <v>4</v>
      </c>
      <c r="I12" s="77">
        <v>7</v>
      </c>
      <c r="J12" s="77">
        <v>3</v>
      </c>
      <c r="K12" s="77">
        <f t="shared" ref="K12:K46" si="0">SUM(B12:J12)</f>
        <v>14</v>
      </c>
      <c r="L12" s="2"/>
      <c r="N12" s="12">
        <v>1</v>
      </c>
      <c r="O12" s="3" t="s">
        <v>1</v>
      </c>
      <c r="P12" s="86">
        <v>14</v>
      </c>
      <c r="Q12" s="86">
        <v>13</v>
      </c>
      <c r="R12" s="86">
        <v>17</v>
      </c>
      <c r="S12" s="86">
        <v>10</v>
      </c>
      <c r="T12" s="86">
        <v>28</v>
      </c>
      <c r="U12" s="86">
        <v>50</v>
      </c>
      <c r="V12" s="86">
        <v>7</v>
      </c>
      <c r="W12" s="86">
        <f>SUM(P12:V12)/7</f>
        <v>19.857142857142858</v>
      </c>
      <c r="AA12" s="90" t="s">
        <v>1</v>
      </c>
      <c r="AB12" s="86"/>
      <c r="AC12" s="86"/>
      <c r="AD12" s="86"/>
      <c r="AE12" s="86"/>
      <c r="AF12" s="86"/>
      <c r="AG12" s="86">
        <v>3</v>
      </c>
      <c r="AH12" s="86">
        <v>2</v>
      </c>
      <c r="AI12" s="86">
        <v>1</v>
      </c>
      <c r="AJ12" s="86"/>
      <c r="AK12" s="86">
        <f t="shared" ref="AK12:AK44" si="1">SUM(AB12:AJ12)</f>
        <v>6</v>
      </c>
      <c r="AL12" s="2"/>
      <c r="AM12" s="2"/>
      <c r="AP12" s="12">
        <v>1</v>
      </c>
      <c r="AQ12" s="3" t="s">
        <v>1</v>
      </c>
      <c r="AR12" s="86">
        <v>6</v>
      </c>
      <c r="AS12" s="86">
        <v>3</v>
      </c>
      <c r="AT12" s="86">
        <v>10</v>
      </c>
      <c r="AU12" s="86">
        <v>5</v>
      </c>
      <c r="AV12" s="86">
        <v>5</v>
      </c>
      <c r="AW12" s="86">
        <v>32</v>
      </c>
      <c r="AX12" s="17">
        <v>7</v>
      </c>
      <c r="AY12" s="86">
        <f>SUM(AR12:AX12)/7</f>
        <v>9.7142857142857135</v>
      </c>
      <c r="BB12" s="2"/>
      <c r="BV12" s="2"/>
    </row>
    <row r="13" spans="1:85" x14ac:dyDescent="0.45">
      <c r="A13" s="83" t="s">
        <v>49</v>
      </c>
      <c r="B13" s="77">
        <v>0</v>
      </c>
      <c r="C13" s="77">
        <v>0</v>
      </c>
      <c r="D13" s="77">
        <v>0</v>
      </c>
      <c r="E13" s="77">
        <v>0</v>
      </c>
      <c r="F13" s="77">
        <v>0</v>
      </c>
      <c r="G13" s="77">
        <v>0</v>
      </c>
      <c r="H13" s="77">
        <v>0</v>
      </c>
      <c r="I13" s="77">
        <v>0</v>
      </c>
      <c r="J13" s="77">
        <v>0</v>
      </c>
      <c r="K13" s="77">
        <f t="shared" si="0"/>
        <v>0</v>
      </c>
      <c r="L13" s="2"/>
      <c r="N13" s="12">
        <v>2</v>
      </c>
      <c r="O13" s="83" t="s">
        <v>45</v>
      </c>
      <c r="P13" s="86">
        <v>0</v>
      </c>
      <c r="Q13" s="86">
        <v>0</v>
      </c>
      <c r="R13" s="86">
        <v>2</v>
      </c>
      <c r="S13" s="142">
        <v>0</v>
      </c>
      <c r="T13" s="86">
        <v>0</v>
      </c>
      <c r="U13" s="86">
        <v>1</v>
      </c>
      <c r="V13" s="86">
        <v>0</v>
      </c>
      <c r="W13" s="213">
        <f t="shared" ref="W13:W44" si="2">SUM(P13:V13)/7</f>
        <v>0.42857142857142855</v>
      </c>
      <c r="AA13" s="90" t="s">
        <v>145</v>
      </c>
      <c r="AB13" s="86"/>
      <c r="AC13" s="86"/>
      <c r="AD13" s="86"/>
      <c r="AE13" s="86"/>
      <c r="AF13" s="86"/>
      <c r="AG13" s="86"/>
      <c r="AH13" s="86"/>
      <c r="AI13" s="86"/>
      <c r="AJ13" s="86"/>
      <c r="AK13" s="86">
        <f t="shared" si="1"/>
        <v>0</v>
      </c>
      <c r="AL13" s="2"/>
      <c r="AM13" s="2"/>
      <c r="AP13" s="12">
        <v>2</v>
      </c>
      <c r="AQ13" s="90" t="s">
        <v>145</v>
      </c>
      <c r="AR13" s="86">
        <v>0</v>
      </c>
      <c r="AS13" s="86">
        <v>0</v>
      </c>
      <c r="AT13" s="86">
        <v>0</v>
      </c>
      <c r="AU13" s="86">
        <v>0</v>
      </c>
      <c r="AV13" s="86">
        <v>1</v>
      </c>
      <c r="AW13" s="142">
        <v>0</v>
      </c>
      <c r="AX13" s="142">
        <v>0</v>
      </c>
      <c r="AY13" s="213">
        <f t="shared" ref="AY13:AY41" si="3">SUM(AR13:AX13)/7</f>
        <v>0.14285714285714285</v>
      </c>
      <c r="BB13" s="2"/>
      <c r="BV13" s="2"/>
    </row>
    <row r="14" spans="1:85" x14ac:dyDescent="0.45">
      <c r="A14" s="83" t="s">
        <v>45</v>
      </c>
      <c r="B14" s="77">
        <v>0</v>
      </c>
      <c r="C14" s="77">
        <v>0</v>
      </c>
      <c r="D14" s="77">
        <v>0</v>
      </c>
      <c r="E14" s="77">
        <v>0</v>
      </c>
      <c r="F14" s="77">
        <v>0</v>
      </c>
      <c r="G14" s="77">
        <v>0</v>
      </c>
      <c r="H14" s="77">
        <v>0</v>
      </c>
      <c r="I14" s="77">
        <v>0</v>
      </c>
      <c r="J14" s="77">
        <v>0</v>
      </c>
      <c r="K14" s="77">
        <f t="shared" si="0"/>
        <v>0</v>
      </c>
      <c r="L14" s="2"/>
      <c r="N14" s="12">
        <v>3</v>
      </c>
      <c r="O14" s="83" t="s">
        <v>41</v>
      </c>
      <c r="P14" s="86">
        <v>10</v>
      </c>
      <c r="Q14" s="86">
        <v>1</v>
      </c>
      <c r="R14" s="86">
        <v>8</v>
      </c>
      <c r="S14" s="86">
        <v>7</v>
      </c>
      <c r="T14" s="86">
        <v>16</v>
      </c>
      <c r="U14" s="86">
        <v>32</v>
      </c>
      <c r="V14" s="86">
        <v>21</v>
      </c>
      <c r="W14" s="86">
        <f t="shared" si="2"/>
        <v>13.571428571428571</v>
      </c>
      <c r="AA14" s="90" t="s">
        <v>92</v>
      </c>
      <c r="AB14" s="86"/>
      <c r="AC14" s="86"/>
      <c r="AD14" s="86"/>
      <c r="AE14" s="86"/>
      <c r="AF14" s="86"/>
      <c r="AG14" s="86"/>
      <c r="AH14" s="86"/>
      <c r="AI14" s="86">
        <v>5</v>
      </c>
      <c r="AJ14" s="86"/>
      <c r="AK14" s="86">
        <f t="shared" si="1"/>
        <v>5</v>
      </c>
      <c r="AL14" s="2"/>
      <c r="AM14" s="2"/>
      <c r="AP14" s="12">
        <v>3</v>
      </c>
      <c r="AQ14" s="83" t="s">
        <v>45</v>
      </c>
      <c r="AR14" s="86">
        <v>5</v>
      </c>
      <c r="AS14" s="86">
        <v>0</v>
      </c>
      <c r="AT14" s="86">
        <v>0</v>
      </c>
      <c r="AU14" s="86">
        <v>0</v>
      </c>
      <c r="AV14" s="86">
        <v>0</v>
      </c>
      <c r="AW14" s="142">
        <v>0</v>
      </c>
      <c r="AX14" s="142">
        <v>0</v>
      </c>
      <c r="AY14" s="213">
        <f t="shared" si="3"/>
        <v>0.7142857142857143</v>
      </c>
      <c r="BB14" s="2"/>
      <c r="BV14" s="2"/>
    </row>
    <row r="15" spans="1:85" x14ac:dyDescent="0.45">
      <c r="A15" s="83" t="s">
        <v>41</v>
      </c>
      <c r="B15" s="77">
        <v>0</v>
      </c>
      <c r="C15" s="77">
        <v>0</v>
      </c>
      <c r="D15" s="77">
        <v>0</v>
      </c>
      <c r="E15" s="77">
        <v>2</v>
      </c>
      <c r="F15" s="77">
        <v>3</v>
      </c>
      <c r="G15" s="77"/>
      <c r="H15" s="77">
        <v>5</v>
      </c>
      <c r="I15" s="77">
        <v>0</v>
      </c>
      <c r="J15" s="77">
        <v>0</v>
      </c>
      <c r="K15" s="77">
        <f t="shared" si="0"/>
        <v>10</v>
      </c>
      <c r="L15" s="2"/>
      <c r="N15" s="12">
        <v>4</v>
      </c>
      <c r="O15" s="3" t="s">
        <v>2</v>
      </c>
      <c r="P15" s="86">
        <v>40</v>
      </c>
      <c r="Q15" s="86">
        <v>48</v>
      </c>
      <c r="R15" s="86">
        <v>40</v>
      </c>
      <c r="S15" s="86">
        <v>16</v>
      </c>
      <c r="T15" s="86">
        <v>19</v>
      </c>
      <c r="U15" s="86">
        <v>16</v>
      </c>
      <c r="V15" s="210">
        <v>10</v>
      </c>
      <c r="W15" s="86">
        <f>SUM(P15:V15)/7</f>
        <v>27</v>
      </c>
      <c r="AA15" s="90" t="s">
        <v>41</v>
      </c>
      <c r="AB15" s="86"/>
      <c r="AC15" s="86"/>
      <c r="AD15" s="86"/>
      <c r="AE15" s="86"/>
      <c r="AF15" s="86"/>
      <c r="AG15" s="86"/>
      <c r="AH15" s="86"/>
      <c r="AI15" s="86">
        <v>1</v>
      </c>
      <c r="AJ15" s="86"/>
      <c r="AK15" s="86">
        <f t="shared" si="1"/>
        <v>1</v>
      </c>
      <c r="AL15" s="2"/>
      <c r="AM15" s="2"/>
      <c r="AP15" s="12">
        <v>4</v>
      </c>
      <c r="AQ15" s="83" t="s">
        <v>41</v>
      </c>
      <c r="AR15" s="86">
        <v>1</v>
      </c>
      <c r="AS15" s="86">
        <v>2</v>
      </c>
      <c r="AT15" s="86">
        <v>7</v>
      </c>
      <c r="AU15" s="86">
        <v>8</v>
      </c>
      <c r="AV15" s="86">
        <v>1</v>
      </c>
      <c r="AW15" s="86">
        <v>1</v>
      </c>
      <c r="AX15" s="17">
        <v>8</v>
      </c>
      <c r="AY15" s="86">
        <f t="shared" si="3"/>
        <v>4</v>
      </c>
      <c r="BB15" s="2"/>
      <c r="BV15" s="2"/>
    </row>
    <row r="16" spans="1:85" x14ac:dyDescent="0.45">
      <c r="A16" s="3" t="s">
        <v>2</v>
      </c>
      <c r="B16" s="77">
        <v>0</v>
      </c>
      <c r="C16" s="77">
        <v>0</v>
      </c>
      <c r="D16" s="77">
        <v>0</v>
      </c>
      <c r="E16" s="77">
        <v>6</v>
      </c>
      <c r="F16" s="19">
        <v>6</v>
      </c>
      <c r="G16" s="19">
        <v>22</v>
      </c>
      <c r="H16" s="19">
        <v>6</v>
      </c>
      <c r="I16" s="77">
        <v>0</v>
      </c>
      <c r="J16" s="77">
        <v>0</v>
      </c>
      <c r="K16" s="77">
        <f t="shared" si="0"/>
        <v>40</v>
      </c>
      <c r="L16" s="2"/>
      <c r="N16" s="12"/>
      <c r="O16" s="207" t="s">
        <v>163</v>
      </c>
      <c r="P16" s="210">
        <v>15</v>
      </c>
      <c r="Q16" s="210">
        <v>0</v>
      </c>
      <c r="R16" s="210">
        <v>0</v>
      </c>
      <c r="S16" s="210">
        <v>0</v>
      </c>
      <c r="T16" s="210">
        <v>0</v>
      </c>
      <c r="U16" s="210">
        <v>0</v>
      </c>
      <c r="V16" s="86">
        <v>0</v>
      </c>
      <c r="W16" s="86">
        <f t="shared" si="2"/>
        <v>2.1428571428571428</v>
      </c>
      <c r="AA16" s="90" t="s">
        <v>2</v>
      </c>
      <c r="AB16" s="86"/>
      <c r="AC16" s="86">
        <v>11</v>
      </c>
      <c r="AD16" s="86">
        <v>9</v>
      </c>
      <c r="AE16" s="86">
        <v>22</v>
      </c>
      <c r="AF16" s="86"/>
      <c r="AG16" s="86">
        <v>10</v>
      </c>
      <c r="AH16" s="86">
        <v>3</v>
      </c>
      <c r="AI16" s="86">
        <v>4</v>
      </c>
      <c r="AJ16" s="86"/>
      <c r="AK16" s="86">
        <f t="shared" si="1"/>
        <v>59</v>
      </c>
      <c r="AL16" s="2"/>
      <c r="AM16" s="2"/>
      <c r="AP16" s="12">
        <v>5</v>
      </c>
      <c r="AQ16" s="3" t="s">
        <v>2</v>
      </c>
      <c r="AR16" s="86">
        <v>59</v>
      </c>
      <c r="AS16" s="86">
        <v>19</v>
      </c>
      <c r="AT16" s="86">
        <v>40</v>
      </c>
      <c r="AU16" s="86">
        <v>70</v>
      </c>
      <c r="AV16" s="86">
        <v>64</v>
      </c>
      <c r="AW16" s="86">
        <v>80</v>
      </c>
      <c r="AX16" s="17">
        <v>38</v>
      </c>
      <c r="AY16" s="86">
        <f t="shared" si="3"/>
        <v>52.857142857142854</v>
      </c>
      <c r="BB16" s="2"/>
      <c r="BV16" s="2"/>
    </row>
    <row r="17" spans="1:85" x14ac:dyDescent="0.45">
      <c r="A17" s="83" t="s">
        <v>43</v>
      </c>
      <c r="B17" s="77">
        <v>0</v>
      </c>
      <c r="C17" s="77">
        <v>0</v>
      </c>
      <c r="D17" s="77">
        <v>1</v>
      </c>
      <c r="E17" s="77">
        <v>0</v>
      </c>
      <c r="F17" s="77">
        <v>0</v>
      </c>
      <c r="G17" s="77">
        <v>0</v>
      </c>
      <c r="H17" s="77">
        <v>0</v>
      </c>
      <c r="I17" s="77">
        <v>0</v>
      </c>
      <c r="J17" s="77">
        <v>0</v>
      </c>
      <c r="K17" s="77">
        <f t="shared" si="0"/>
        <v>1</v>
      </c>
      <c r="L17" s="2"/>
      <c r="N17" s="12">
        <v>5</v>
      </c>
      <c r="O17" s="83" t="s">
        <v>43</v>
      </c>
      <c r="P17" s="86">
        <v>1</v>
      </c>
      <c r="Q17" s="86">
        <v>0</v>
      </c>
      <c r="R17" s="86">
        <v>0</v>
      </c>
      <c r="S17" s="142">
        <v>0</v>
      </c>
      <c r="T17" s="142">
        <v>0</v>
      </c>
      <c r="U17" s="86">
        <v>0</v>
      </c>
      <c r="V17" s="86">
        <v>0</v>
      </c>
      <c r="W17" s="213">
        <f t="shared" si="2"/>
        <v>0.14285714285714285</v>
      </c>
      <c r="AA17" s="90" t="s">
        <v>43</v>
      </c>
      <c r="AB17" s="86"/>
      <c r="AC17" s="86"/>
      <c r="AD17" s="86"/>
      <c r="AE17" s="86"/>
      <c r="AF17" s="86"/>
      <c r="AG17" s="86"/>
      <c r="AH17" s="86"/>
      <c r="AI17" s="86"/>
      <c r="AJ17" s="86"/>
      <c r="AK17" s="86">
        <f t="shared" si="1"/>
        <v>0</v>
      </c>
      <c r="AL17" s="2"/>
      <c r="AM17" s="2"/>
      <c r="AP17" s="12">
        <v>6</v>
      </c>
      <c r="AQ17" s="3" t="s">
        <v>3</v>
      </c>
      <c r="AR17" s="86">
        <v>34</v>
      </c>
      <c r="AS17" s="86">
        <v>16</v>
      </c>
      <c r="AT17" s="86">
        <v>17</v>
      </c>
      <c r="AU17" s="86">
        <v>18</v>
      </c>
      <c r="AV17" s="86">
        <v>47</v>
      </c>
      <c r="AW17" s="86">
        <v>9</v>
      </c>
      <c r="AX17" s="17">
        <v>12</v>
      </c>
      <c r="AY17" s="86">
        <f t="shared" si="3"/>
        <v>21.857142857142858</v>
      </c>
      <c r="BB17" s="2"/>
      <c r="BV17" s="2"/>
    </row>
    <row r="18" spans="1:85" x14ac:dyDescent="0.45">
      <c r="A18" s="3" t="s">
        <v>3</v>
      </c>
      <c r="B18" s="77">
        <v>0</v>
      </c>
      <c r="C18" s="77">
        <v>0</v>
      </c>
      <c r="D18" s="77">
        <v>9</v>
      </c>
      <c r="E18" s="77">
        <v>11</v>
      </c>
      <c r="F18" s="77">
        <v>4</v>
      </c>
      <c r="G18" s="77">
        <v>12</v>
      </c>
      <c r="H18" s="77">
        <v>4</v>
      </c>
      <c r="I18" s="77">
        <v>4</v>
      </c>
      <c r="J18" s="77">
        <v>0</v>
      </c>
      <c r="K18" s="77">
        <f t="shared" si="0"/>
        <v>44</v>
      </c>
      <c r="L18" s="2"/>
      <c r="N18" s="12">
        <v>6</v>
      </c>
      <c r="O18" s="3" t="s">
        <v>3</v>
      </c>
      <c r="P18" s="86">
        <v>44</v>
      </c>
      <c r="Q18" s="86">
        <v>39</v>
      </c>
      <c r="R18" s="86">
        <v>42</v>
      </c>
      <c r="S18" s="86">
        <v>50</v>
      </c>
      <c r="T18" s="86">
        <v>54</v>
      </c>
      <c r="U18" s="86">
        <v>64</v>
      </c>
      <c r="V18" s="86">
        <v>51</v>
      </c>
      <c r="W18" s="86">
        <f t="shared" si="2"/>
        <v>49.142857142857146</v>
      </c>
      <c r="AA18" s="90" t="s">
        <v>3</v>
      </c>
      <c r="AB18" s="86"/>
      <c r="AC18" s="86">
        <v>11</v>
      </c>
      <c r="AD18" s="86">
        <v>6</v>
      </c>
      <c r="AE18" s="86">
        <v>9</v>
      </c>
      <c r="AF18" s="86"/>
      <c r="AG18" s="86"/>
      <c r="AH18" s="86">
        <v>1</v>
      </c>
      <c r="AI18" s="86">
        <v>3</v>
      </c>
      <c r="AJ18" s="86">
        <v>4</v>
      </c>
      <c r="AK18" s="86">
        <f t="shared" si="1"/>
        <v>34</v>
      </c>
      <c r="AL18" s="2"/>
      <c r="AM18" s="2"/>
      <c r="AP18" s="12">
        <v>7</v>
      </c>
      <c r="AQ18" s="3" t="s">
        <v>4</v>
      </c>
      <c r="AR18" s="86">
        <v>8</v>
      </c>
      <c r="AS18" s="86">
        <v>16</v>
      </c>
      <c r="AT18" s="86">
        <v>6</v>
      </c>
      <c r="AU18" s="86">
        <v>13</v>
      </c>
      <c r="AV18" s="86">
        <v>16</v>
      </c>
      <c r="AW18" s="86">
        <v>2</v>
      </c>
      <c r="AX18" s="17">
        <v>6</v>
      </c>
      <c r="AY18" s="86">
        <f t="shared" si="3"/>
        <v>9.5714285714285712</v>
      </c>
      <c r="BB18" s="2"/>
      <c r="BV18" s="2"/>
    </row>
    <row r="19" spans="1:85" x14ac:dyDescent="0.45">
      <c r="A19" s="3" t="s">
        <v>4</v>
      </c>
      <c r="B19" s="77">
        <v>0</v>
      </c>
      <c r="C19" s="77">
        <v>0</v>
      </c>
      <c r="D19" s="77">
        <v>3</v>
      </c>
      <c r="E19" s="77">
        <v>8</v>
      </c>
      <c r="F19" s="77"/>
      <c r="G19" s="77">
        <v>1</v>
      </c>
      <c r="H19" s="77">
        <v>2</v>
      </c>
      <c r="I19" s="77">
        <v>4</v>
      </c>
      <c r="J19" s="77">
        <v>2</v>
      </c>
      <c r="K19" s="77">
        <f t="shared" si="0"/>
        <v>20</v>
      </c>
      <c r="L19" s="2"/>
      <c r="N19" s="12">
        <v>7</v>
      </c>
      <c r="O19" s="3" t="s">
        <v>4</v>
      </c>
      <c r="P19" s="86">
        <v>20</v>
      </c>
      <c r="Q19" s="86">
        <v>20</v>
      </c>
      <c r="R19" s="86">
        <v>2</v>
      </c>
      <c r="S19" s="86">
        <v>1</v>
      </c>
      <c r="T19" s="86">
        <v>7</v>
      </c>
      <c r="U19" s="86">
        <v>5</v>
      </c>
      <c r="V19" s="86">
        <v>0</v>
      </c>
      <c r="W19" s="86">
        <f t="shared" si="2"/>
        <v>7.8571428571428568</v>
      </c>
      <c r="AA19" s="90" t="s">
        <v>4</v>
      </c>
      <c r="AB19" s="86"/>
      <c r="AC19" s="86">
        <v>2</v>
      </c>
      <c r="AD19" s="86"/>
      <c r="AE19" s="86"/>
      <c r="AF19" s="86"/>
      <c r="AG19" s="86"/>
      <c r="AH19" s="86">
        <v>2</v>
      </c>
      <c r="AI19" s="86">
        <v>4</v>
      </c>
      <c r="AJ19" s="86"/>
      <c r="AK19" s="86">
        <f t="shared" si="1"/>
        <v>8</v>
      </c>
      <c r="AL19" s="2"/>
      <c r="AM19" s="2"/>
      <c r="AP19" s="12">
        <v>8</v>
      </c>
      <c r="AQ19" s="3" t="s">
        <v>7</v>
      </c>
      <c r="AR19" s="86">
        <v>43</v>
      </c>
      <c r="AS19" s="86">
        <v>58</v>
      </c>
      <c r="AT19" s="86">
        <v>8</v>
      </c>
      <c r="AU19" s="86">
        <v>6</v>
      </c>
      <c r="AV19" s="86">
        <v>5</v>
      </c>
      <c r="AW19" s="86">
        <v>18</v>
      </c>
      <c r="AX19" s="17">
        <v>18</v>
      </c>
      <c r="AY19" s="86">
        <f t="shared" si="3"/>
        <v>22.285714285714285</v>
      </c>
      <c r="BB19" s="2"/>
      <c r="BV19" s="2"/>
    </row>
    <row r="20" spans="1:85" x14ac:dyDescent="0.45">
      <c r="A20" s="83" t="s">
        <v>48</v>
      </c>
      <c r="B20" s="77">
        <v>0</v>
      </c>
      <c r="C20" s="77">
        <v>0</v>
      </c>
      <c r="D20" s="77">
        <v>18</v>
      </c>
      <c r="E20" s="77">
        <v>21</v>
      </c>
      <c r="F20" s="77">
        <v>5</v>
      </c>
      <c r="G20" s="77">
        <v>0</v>
      </c>
      <c r="H20" s="77">
        <v>0</v>
      </c>
      <c r="I20" s="77">
        <v>1</v>
      </c>
      <c r="J20" s="77">
        <v>0</v>
      </c>
      <c r="K20" s="77">
        <f t="shared" si="0"/>
        <v>45</v>
      </c>
      <c r="L20" s="2"/>
      <c r="N20" s="12"/>
      <c r="O20" s="84" t="s">
        <v>48</v>
      </c>
      <c r="P20" s="208">
        <v>45</v>
      </c>
      <c r="Q20" s="208">
        <v>0</v>
      </c>
      <c r="R20" s="208">
        <v>0</v>
      </c>
      <c r="S20" s="208">
        <v>1</v>
      </c>
      <c r="T20" s="208">
        <v>0</v>
      </c>
      <c r="U20" s="208">
        <v>0</v>
      </c>
      <c r="V20" s="208">
        <v>0</v>
      </c>
      <c r="W20" s="86">
        <f t="shared" si="2"/>
        <v>6.5714285714285712</v>
      </c>
      <c r="AA20" s="90" t="s">
        <v>48</v>
      </c>
      <c r="AB20" s="86"/>
      <c r="AC20" s="86"/>
      <c r="AD20" s="86"/>
      <c r="AE20" s="86"/>
      <c r="AF20" s="86"/>
      <c r="AG20" s="86"/>
      <c r="AH20" s="86"/>
      <c r="AI20" s="86"/>
      <c r="AJ20" s="86"/>
      <c r="AK20" s="86">
        <f t="shared" si="1"/>
        <v>0</v>
      </c>
      <c r="AL20" s="2"/>
      <c r="AM20" s="2"/>
      <c r="AP20" s="12">
        <v>9</v>
      </c>
      <c r="AQ20" s="83" t="s">
        <v>50</v>
      </c>
      <c r="AR20" s="86">
        <v>1</v>
      </c>
      <c r="AS20" s="86">
        <v>0</v>
      </c>
      <c r="AT20" s="86">
        <v>0</v>
      </c>
      <c r="AU20" s="86">
        <v>0</v>
      </c>
      <c r="AV20" s="86">
        <v>0</v>
      </c>
      <c r="AW20" s="86">
        <v>1</v>
      </c>
      <c r="AX20" s="86">
        <v>0</v>
      </c>
      <c r="AY20" s="213">
        <f t="shared" si="3"/>
        <v>0.2857142857142857</v>
      </c>
      <c r="BB20" s="2"/>
      <c r="BV20" s="2"/>
    </row>
    <row r="21" spans="1:85" x14ac:dyDescent="0.45">
      <c r="A21" s="3" t="s">
        <v>6</v>
      </c>
      <c r="B21" s="77">
        <v>0</v>
      </c>
      <c r="C21" s="77">
        <v>0</v>
      </c>
      <c r="D21" s="77">
        <v>0</v>
      </c>
      <c r="E21" s="77">
        <v>0</v>
      </c>
      <c r="F21" s="77">
        <v>0</v>
      </c>
      <c r="G21" s="77">
        <v>0</v>
      </c>
      <c r="H21" s="77">
        <v>0</v>
      </c>
      <c r="I21" s="77">
        <v>0</v>
      </c>
      <c r="J21" s="77">
        <v>0</v>
      </c>
      <c r="K21" s="77">
        <f t="shared" si="0"/>
        <v>0</v>
      </c>
      <c r="L21" s="2"/>
      <c r="N21" s="12">
        <v>8</v>
      </c>
      <c r="O21" s="3" t="s">
        <v>6</v>
      </c>
      <c r="P21" s="86">
        <v>0</v>
      </c>
      <c r="Q21" s="86">
        <v>0</v>
      </c>
      <c r="R21" s="86">
        <v>6</v>
      </c>
      <c r="S21" s="86">
        <v>5</v>
      </c>
      <c r="T21" s="86">
        <v>1</v>
      </c>
      <c r="U21" s="86">
        <v>2</v>
      </c>
      <c r="V21" s="86">
        <v>2</v>
      </c>
      <c r="W21" s="86">
        <f t="shared" si="2"/>
        <v>2.2857142857142856</v>
      </c>
      <c r="AA21" s="90" t="s">
        <v>6</v>
      </c>
      <c r="AB21" s="86"/>
      <c r="AC21" s="86"/>
      <c r="AD21" s="86"/>
      <c r="AE21" s="86"/>
      <c r="AF21" s="86"/>
      <c r="AG21" s="86"/>
      <c r="AH21" s="86"/>
      <c r="AI21" s="86"/>
      <c r="AJ21" s="86"/>
      <c r="AK21" s="86">
        <f t="shared" si="1"/>
        <v>0</v>
      </c>
      <c r="AL21" s="2"/>
      <c r="AM21" s="2"/>
      <c r="AP21" s="12">
        <v>10</v>
      </c>
      <c r="AQ21" s="83" t="s">
        <v>51</v>
      </c>
      <c r="AR21" s="86">
        <v>25</v>
      </c>
      <c r="AS21" s="86">
        <v>8</v>
      </c>
      <c r="AT21" s="86">
        <v>12</v>
      </c>
      <c r="AU21" s="86">
        <v>21</v>
      </c>
      <c r="AV21" s="86">
        <v>14</v>
      </c>
      <c r="AW21" s="86">
        <v>10</v>
      </c>
      <c r="AX21" s="17">
        <v>6</v>
      </c>
      <c r="AY21" s="86">
        <f t="shared" si="3"/>
        <v>13.714285714285714</v>
      </c>
      <c r="BB21" s="2"/>
      <c r="BV21" s="2"/>
    </row>
    <row r="22" spans="1:85" x14ac:dyDescent="0.45">
      <c r="A22" s="3" t="s">
        <v>7</v>
      </c>
      <c r="B22" s="77">
        <v>0</v>
      </c>
      <c r="C22" s="77">
        <v>0</v>
      </c>
      <c r="D22" s="77">
        <v>0</v>
      </c>
      <c r="E22" s="77">
        <v>0</v>
      </c>
      <c r="F22" s="77">
        <v>48</v>
      </c>
      <c r="G22" s="77">
        <v>0</v>
      </c>
      <c r="H22" s="77">
        <v>21</v>
      </c>
      <c r="I22" s="77">
        <v>1</v>
      </c>
      <c r="J22" s="77">
        <v>5</v>
      </c>
      <c r="K22" s="77">
        <f t="shared" si="0"/>
        <v>75</v>
      </c>
      <c r="L22" s="2"/>
      <c r="N22" s="12">
        <v>9</v>
      </c>
      <c r="O22" s="3" t="s">
        <v>7</v>
      </c>
      <c r="P22" s="86">
        <v>75</v>
      </c>
      <c r="Q22" s="86">
        <v>29</v>
      </c>
      <c r="R22" s="86">
        <v>2</v>
      </c>
      <c r="S22" s="86">
        <v>8</v>
      </c>
      <c r="T22" s="86">
        <v>9</v>
      </c>
      <c r="U22" s="86">
        <v>20</v>
      </c>
      <c r="V22" s="86">
        <v>27</v>
      </c>
      <c r="W22" s="86">
        <f t="shared" si="2"/>
        <v>24.285714285714285</v>
      </c>
      <c r="AA22" s="90" t="s">
        <v>7</v>
      </c>
      <c r="AB22" s="86"/>
      <c r="AC22" s="86"/>
      <c r="AD22" s="86"/>
      <c r="AE22" s="86">
        <v>3</v>
      </c>
      <c r="AF22" s="86">
        <v>9</v>
      </c>
      <c r="AG22" s="86">
        <v>4</v>
      </c>
      <c r="AH22" s="86">
        <v>7</v>
      </c>
      <c r="AI22" s="86">
        <v>17</v>
      </c>
      <c r="AJ22" s="86">
        <v>3</v>
      </c>
      <c r="AK22" s="86">
        <f t="shared" si="1"/>
        <v>43</v>
      </c>
      <c r="AL22" s="2"/>
      <c r="AM22" s="2"/>
      <c r="AP22" s="12">
        <v>11</v>
      </c>
      <c r="AQ22" s="83" t="s">
        <v>42</v>
      </c>
      <c r="AR22" s="86">
        <v>0</v>
      </c>
      <c r="AS22" s="86">
        <v>2</v>
      </c>
      <c r="AT22" s="86">
        <v>0</v>
      </c>
      <c r="AU22" s="86">
        <v>1</v>
      </c>
      <c r="AV22" s="86">
        <v>0</v>
      </c>
      <c r="AW22" s="86">
        <v>6</v>
      </c>
      <c r="AX22" s="17">
        <v>4</v>
      </c>
      <c r="AY22" s="86">
        <f t="shared" si="3"/>
        <v>1.8571428571428572</v>
      </c>
      <c r="BB22" s="2"/>
      <c r="BV22" s="2"/>
    </row>
    <row r="23" spans="1:85" x14ac:dyDescent="0.45">
      <c r="A23" s="83" t="s">
        <v>50</v>
      </c>
      <c r="B23" s="77">
        <v>0</v>
      </c>
      <c r="C23" s="77">
        <v>0</v>
      </c>
      <c r="D23" s="77">
        <v>0</v>
      </c>
      <c r="E23" s="77">
        <v>0</v>
      </c>
      <c r="F23" s="77">
        <v>0</v>
      </c>
      <c r="G23" s="77">
        <v>0</v>
      </c>
      <c r="H23" s="77">
        <v>0</v>
      </c>
      <c r="I23" s="77">
        <v>0</v>
      </c>
      <c r="J23" s="77">
        <v>0</v>
      </c>
      <c r="K23" s="77">
        <f t="shared" si="0"/>
        <v>0</v>
      </c>
      <c r="L23" s="2"/>
      <c r="N23" s="12">
        <v>10</v>
      </c>
      <c r="O23" s="83" t="s">
        <v>51</v>
      </c>
      <c r="P23" s="86">
        <v>1</v>
      </c>
      <c r="Q23" s="86">
        <v>0</v>
      </c>
      <c r="R23" s="86">
        <v>0</v>
      </c>
      <c r="S23" s="142">
        <v>2</v>
      </c>
      <c r="T23" s="142">
        <v>0</v>
      </c>
      <c r="U23" s="86">
        <v>3</v>
      </c>
      <c r="V23" s="86">
        <v>0</v>
      </c>
      <c r="W23" s="213">
        <f t="shared" si="2"/>
        <v>0.8571428571428571</v>
      </c>
      <c r="AA23" s="90" t="s">
        <v>50</v>
      </c>
      <c r="AB23" s="86"/>
      <c r="AC23" s="86"/>
      <c r="AD23" s="86"/>
      <c r="AE23" s="86"/>
      <c r="AF23" s="86"/>
      <c r="AG23" s="86"/>
      <c r="AH23" s="86"/>
      <c r="AI23" s="86">
        <v>1</v>
      </c>
      <c r="AJ23" s="86"/>
      <c r="AK23" s="86">
        <f t="shared" si="1"/>
        <v>1</v>
      </c>
      <c r="AL23" s="2"/>
      <c r="AM23" s="2"/>
      <c r="AP23" s="12">
        <v>12</v>
      </c>
      <c r="AQ23" s="90" t="s">
        <v>44</v>
      </c>
      <c r="AR23" s="86"/>
      <c r="AS23" s="86"/>
      <c r="AT23" s="86"/>
      <c r="AU23" s="86">
        <v>2</v>
      </c>
      <c r="AV23" s="86">
        <v>1</v>
      </c>
      <c r="AW23" s="86">
        <v>0</v>
      </c>
      <c r="AX23" s="86">
        <v>0</v>
      </c>
      <c r="AY23" s="213">
        <f t="shared" si="3"/>
        <v>0.42857142857142855</v>
      </c>
      <c r="BB23" s="2"/>
      <c r="BV23" s="2"/>
    </row>
    <row r="24" spans="1:85" x14ac:dyDescent="0.45">
      <c r="A24" s="83" t="s">
        <v>51</v>
      </c>
      <c r="B24" s="77">
        <v>0</v>
      </c>
      <c r="C24" s="77">
        <v>0</v>
      </c>
      <c r="D24" s="77">
        <v>0</v>
      </c>
      <c r="E24" s="77">
        <v>0</v>
      </c>
      <c r="F24" s="77">
        <v>0</v>
      </c>
      <c r="G24" s="77">
        <v>1</v>
      </c>
      <c r="H24" s="77">
        <v>0</v>
      </c>
      <c r="I24" s="77">
        <v>0</v>
      </c>
      <c r="J24" s="77">
        <v>0</v>
      </c>
      <c r="K24" s="77">
        <f t="shared" si="0"/>
        <v>1</v>
      </c>
      <c r="L24" s="2"/>
      <c r="N24" s="12">
        <v>11</v>
      </c>
      <c r="O24" s="83" t="s">
        <v>42</v>
      </c>
      <c r="P24" s="86">
        <v>1</v>
      </c>
      <c r="Q24" s="86">
        <v>0</v>
      </c>
      <c r="R24" s="86">
        <v>0</v>
      </c>
      <c r="S24" s="142">
        <v>0</v>
      </c>
      <c r="T24" s="142">
        <v>1</v>
      </c>
      <c r="U24" s="86">
        <v>1</v>
      </c>
      <c r="V24" s="86">
        <v>1</v>
      </c>
      <c r="W24" s="213">
        <f t="shared" si="2"/>
        <v>0.5714285714285714</v>
      </c>
      <c r="AA24" s="90" t="s">
        <v>51</v>
      </c>
      <c r="AB24" s="86"/>
      <c r="AC24" s="86"/>
      <c r="AD24" s="86"/>
      <c r="AE24" s="86"/>
      <c r="AF24" s="86">
        <v>1</v>
      </c>
      <c r="AG24" s="86">
        <v>2</v>
      </c>
      <c r="AH24" s="86">
        <v>7</v>
      </c>
      <c r="AI24" s="86">
        <v>13</v>
      </c>
      <c r="AJ24" s="86">
        <v>2</v>
      </c>
      <c r="AK24" s="86">
        <f t="shared" si="1"/>
        <v>25</v>
      </c>
      <c r="AL24" s="2"/>
      <c r="AM24" s="2"/>
      <c r="AP24" s="12">
        <v>13</v>
      </c>
      <c r="AQ24" s="90" t="s">
        <v>10</v>
      </c>
      <c r="AR24" s="86">
        <v>0</v>
      </c>
      <c r="AS24" s="86">
        <v>0</v>
      </c>
      <c r="AT24" s="86">
        <v>0</v>
      </c>
      <c r="AU24" s="86">
        <v>0</v>
      </c>
      <c r="AV24" s="86">
        <v>0</v>
      </c>
      <c r="AW24" s="86">
        <v>1</v>
      </c>
      <c r="AX24" s="86">
        <v>0</v>
      </c>
      <c r="AY24" s="213">
        <f t="shared" si="3"/>
        <v>0.14285714285714285</v>
      </c>
      <c r="BB24" s="2"/>
      <c r="BV24" s="2"/>
    </row>
    <row r="25" spans="1:85" x14ac:dyDescent="0.45">
      <c r="A25" s="83" t="s">
        <v>42</v>
      </c>
      <c r="B25" s="77">
        <v>0</v>
      </c>
      <c r="C25" s="77">
        <v>0</v>
      </c>
      <c r="D25" s="77">
        <v>0</v>
      </c>
      <c r="E25" s="77">
        <v>0</v>
      </c>
      <c r="F25" s="77">
        <v>0</v>
      </c>
      <c r="G25" s="77">
        <v>0</v>
      </c>
      <c r="H25" s="77">
        <v>0</v>
      </c>
      <c r="I25" s="77">
        <v>0</v>
      </c>
      <c r="J25" s="77">
        <v>1</v>
      </c>
      <c r="K25" s="77">
        <f t="shared" si="0"/>
        <v>1</v>
      </c>
      <c r="L25" s="2"/>
      <c r="N25" s="12">
        <v>12</v>
      </c>
      <c r="O25" s="3" t="s">
        <v>8</v>
      </c>
      <c r="P25" s="86">
        <v>1</v>
      </c>
      <c r="Q25" s="86">
        <v>1</v>
      </c>
      <c r="R25" s="86">
        <v>5</v>
      </c>
      <c r="S25" s="142">
        <v>0</v>
      </c>
      <c r="T25" s="142">
        <v>0</v>
      </c>
      <c r="U25" s="86">
        <v>5</v>
      </c>
      <c r="V25" s="86">
        <v>1</v>
      </c>
      <c r="W25" s="86">
        <f t="shared" si="2"/>
        <v>1.8571428571428572</v>
      </c>
      <c r="AA25" s="90" t="s">
        <v>42</v>
      </c>
      <c r="AB25" s="86"/>
      <c r="AC25" s="86"/>
      <c r="AD25" s="86"/>
      <c r="AE25" s="86"/>
      <c r="AF25" s="86"/>
      <c r="AG25" s="86"/>
      <c r="AH25" s="86"/>
      <c r="AI25" s="86"/>
      <c r="AJ25" s="86"/>
      <c r="AK25" s="86">
        <f t="shared" si="1"/>
        <v>0</v>
      </c>
      <c r="AL25" s="2"/>
      <c r="AM25" s="2"/>
      <c r="AP25" s="12">
        <v>14</v>
      </c>
      <c r="AQ25" s="3" t="s">
        <v>11</v>
      </c>
      <c r="AR25" s="86">
        <v>16950</v>
      </c>
      <c r="AS25" s="86">
        <v>588</v>
      </c>
      <c r="AT25" s="86">
        <v>4634</v>
      </c>
      <c r="AU25" s="86">
        <v>2652</v>
      </c>
      <c r="AV25" s="86">
        <v>2557</v>
      </c>
      <c r="AW25" s="86">
        <v>14755</v>
      </c>
      <c r="AX25" s="17">
        <v>6721</v>
      </c>
      <c r="AY25" s="86">
        <f t="shared" si="3"/>
        <v>6979.5714285714284</v>
      </c>
      <c r="BB25" s="2"/>
      <c r="BV25" s="2"/>
    </row>
    <row r="26" spans="1:85" x14ac:dyDescent="0.45">
      <c r="A26" s="3" t="s">
        <v>8</v>
      </c>
      <c r="B26" s="77">
        <v>0</v>
      </c>
      <c r="C26" s="77">
        <v>0</v>
      </c>
      <c r="D26" s="77">
        <v>0</v>
      </c>
      <c r="E26" s="77">
        <v>0</v>
      </c>
      <c r="F26" s="77">
        <v>0</v>
      </c>
      <c r="G26" s="77">
        <v>0</v>
      </c>
      <c r="H26" s="77">
        <v>0</v>
      </c>
      <c r="I26" s="77">
        <v>1</v>
      </c>
      <c r="J26" s="77"/>
      <c r="K26" s="77">
        <f t="shared" si="0"/>
        <v>1</v>
      </c>
      <c r="L26" s="2"/>
      <c r="N26" s="12">
        <v>13</v>
      </c>
      <c r="O26" s="3" t="s">
        <v>9</v>
      </c>
      <c r="P26" s="86">
        <v>0</v>
      </c>
      <c r="Q26" s="86">
        <v>0</v>
      </c>
      <c r="R26" s="86">
        <v>1</v>
      </c>
      <c r="S26" s="142">
        <v>0</v>
      </c>
      <c r="T26" s="86">
        <v>0</v>
      </c>
      <c r="U26" s="86">
        <v>0</v>
      </c>
      <c r="V26" s="86">
        <v>0</v>
      </c>
      <c r="W26" s="213">
        <f t="shared" si="2"/>
        <v>0.14285714285714285</v>
      </c>
      <c r="AA26" s="90" t="s">
        <v>8</v>
      </c>
      <c r="AB26" s="86"/>
      <c r="AC26" s="86"/>
      <c r="AD26" s="86"/>
      <c r="AE26" s="86"/>
      <c r="AF26" s="86"/>
      <c r="AG26" s="86"/>
      <c r="AH26" s="86"/>
      <c r="AI26" s="86"/>
      <c r="AJ26" s="86"/>
      <c r="AK26" s="86">
        <f t="shared" si="1"/>
        <v>0</v>
      </c>
      <c r="AL26" s="2"/>
      <c r="AM26" s="2"/>
      <c r="AP26" s="12">
        <v>15</v>
      </c>
      <c r="AQ26" s="3" t="s">
        <v>12</v>
      </c>
      <c r="AR26" s="86">
        <v>209</v>
      </c>
      <c r="AS26" s="86">
        <v>5</v>
      </c>
      <c r="AT26" s="86">
        <v>0</v>
      </c>
      <c r="AU26" s="86">
        <v>2</v>
      </c>
      <c r="AV26" s="86">
        <v>4</v>
      </c>
      <c r="AW26" s="86">
        <v>41</v>
      </c>
      <c r="AX26" s="17">
        <v>4</v>
      </c>
      <c r="AY26" s="86">
        <f t="shared" si="3"/>
        <v>37.857142857142854</v>
      </c>
      <c r="BB26" s="2"/>
      <c r="BV26" s="2"/>
    </row>
    <row r="27" spans="1:85" x14ac:dyDescent="0.45">
      <c r="A27" s="3" t="s">
        <v>9</v>
      </c>
      <c r="B27" s="77">
        <v>0</v>
      </c>
      <c r="C27" s="77">
        <v>0</v>
      </c>
      <c r="D27" s="77">
        <v>0</v>
      </c>
      <c r="E27" s="77">
        <v>0</v>
      </c>
      <c r="F27" s="77">
        <v>0</v>
      </c>
      <c r="G27" s="77">
        <v>0</v>
      </c>
      <c r="H27" s="77">
        <v>0</v>
      </c>
      <c r="I27" s="77">
        <v>0</v>
      </c>
      <c r="J27" s="77">
        <v>0</v>
      </c>
      <c r="K27" s="77">
        <f t="shared" si="0"/>
        <v>0</v>
      </c>
      <c r="L27" s="2"/>
      <c r="N27" s="12">
        <v>14</v>
      </c>
      <c r="O27" s="83" t="s">
        <v>44</v>
      </c>
      <c r="P27" s="86">
        <v>1</v>
      </c>
      <c r="Q27" s="86">
        <v>0</v>
      </c>
      <c r="R27" s="86">
        <v>0</v>
      </c>
      <c r="S27" s="142">
        <v>0</v>
      </c>
      <c r="T27" s="86">
        <v>4</v>
      </c>
      <c r="U27" s="86">
        <v>3</v>
      </c>
      <c r="V27" s="86">
        <v>0</v>
      </c>
      <c r="W27" s="86">
        <f t="shared" si="2"/>
        <v>1.1428571428571428</v>
      </c>
      <c r="AA27" s="90" t="s">
        <v>9</v>
      </c>
      <c r="AB27" s="86"/>
      <c r="AC27" s="86"/>
      <c r="AD27" s="86"/>
      <c r="AE27" s="86"/>
      <c r="AF27" s="86"/>
      <c r="AG27" s="86"/>
      <c r="AH27" s="86"/>
      <c r="AI27" s="86"/>
      <c r="AJ27" s="86"/>
      <c r="AK27" s="86">
        <f t="shared" si="1"/>
        <v>0</v>
      </c>
      <c r="AL27" s="2"/>
      <c r="AM27" s="2"/>
      <c r="AP27" s="12">
        <v>16</v>
      </c>
      <c r="AQ27" s="83" t="s">
        <v>32</v>
      </c>
      <c r="AR27" s="86">
        <v>8</v>
      </c>
      <c r="AS27" s="86">
        <v>0</v>
      </c>
      <c r="AT27" s="86">
        <v>1</v>
      </c>
      <c r="AU27" s="86">
        <v>14</v>
      </c>
      <c r="AV27" s="86">
        <v>2</v>
      </c>
      <c r="AW27" s="86">
        <v>4</v>
      </c>
      <c r="AX27" s="17">
        <v>21</v>
      </c>
      <c r="AY27" s="86">
        <f t="shared" si="3"/>
        <v>7.1428571428571432</v>
      </c>
      <c r="BB27" s="2"/>
      <c r="BV27" s="2"/>
    </row>
    <row r="28" spans="1:85" x14ac:dyDescent="0.45">
      <c r="A28" s="83" t="s">
        <v>44</v>
      </c>
      <c r="B28" s="77">
        <v>0</v>
      </c>
      <c r="C28" s="77">
        <v>0</v>
      </c>
      <c r="D28" s="77">
        <v>0</v>
      </c>
      <c r="E28" s="77">
        <v>0</v>
      </c>
      <c r="F28" s="77">
        <v>0</v>
      </c>
      <c r="G28" s="77">
        <v>0</v>
      </c>
      <c r="H28" s="77">
        <v>1</v>
      </c>
      <c r="I28" s="77">
        <v>0</v>
      </c>
      <c r="J28" s="77">
        <v>0</v>
      </c>
      <c r="K28" s="77">
        <f t="shared" si="0"/>
        <v>1</v>
      </c>
      <c r="L28" s="2"/>
      <c r="N28" s="12">
        <v>15</v>
      </c>
      <c r="O28" s="3" t="s">
        <v>10</v>
      </c>
      <c r="P28" s="86">
        <v>3</v>
      </c>
      <c r="Q28" s="86">
        <v>20</v>
      </c>
      <c r="R28" s="86">
        <v>0</v>
      </c>
      <c r="S28" s="86">
        <v>18</v>
      </c>
      <c r="T28" s="86">
        <v>5</v>
      </c>
      <c r="U28" s="86">
        <v>24</v>
      </c>
      <c r="V28" s="86">
        <v>0</v>
      </c>
      <c r="W28" s="86">
        <f t="shared" si="2"/>
        <v>10</v>
      </c>
      <c r="AA28" s="90" t="s">
        <v>44</v>
      </c>
      <c r="AB28" s="86"/>
      <c r="AC28" s="86"/>
      <c r="AD28" s="86"/>
      <c r="AE28" s="86"/>
      <c r="AF28" s="86"/>
      <c r="AG28" s="86"/>
      <c r="AH28" s="86"/>
      <c r="AI28" s="86"/>
      <c r="AJ28" s="86"/>
      <c r="AK28" s="86">
        <f t="shared" si="1"/>
        <v>0</v>
      </c>
      <c r="AL28" s="2"/>
      <c r="AM28" s="2"/>
      <c r="AP28" s="12"/>
      <c r="AQ28" s="87" t="s">
        <v>146</v>
      </c>
      <c r="AX28" s="17">
        <v>1</v>
      </c>
      <c r="AY28" s="213">
        <f t="shared" si="3"/>
        <v>0.14285714285714285</v>
      </c>
      <c r="BB28" s="2"/>
      <c r="BV28" s="2"/>
    </row>
    <row r="29" spans="1:85" x14ac:dyDescent="0.45">
      <c r="A29" s="3" t="s">
        <v>10</v>
      </c>
      <c r="B29" s="77">
        <v>0</v>
      </c>
      <c r="C29" s="77">
        <v>0</v>
      </c>
      <c r="D29" s="77">
        <v>0</v>
      </c>
      <c r="E29" s="77">
        <v>0</v>
      </c>
      <c r="F29" s="77">
        <v>1</v>
      </c>
      <c r="G29" s="77"/>
      <c r="H29" s="77">
        <v>2</v>
      </c>
      <c r="I29" s="77">
        <v>0</v>
      </c>
      <c r="J29" s="77">
        <v>0</v>
      </c>
      <c r="K29" s="77">
        <f t="shared" si="0"/>
        <v>3</v>
      </c>
      <c r="L29" s="2"/>
      <c r="N29" s="12">
        <v>16</v>
      </c>
      <c r="O29" s="3" t="s">
        <v>11</v>
      </c>
      <c r="P29" s="86">
        <v>606</v>
      </c>
      <c r="Q29" s="86">
        <v>135</v>
      </c>
      <c r="R29" s="86">
        <v>204</v>
      </c>
      <c r="S29" s="86">
        <v>13</v>
      </c>
      <c r="T29" s="86">
        <v>219</v>
      </c>
      <c r="U29" s="86">
        <v>799</v>
      </c>
      <c r="V29" s="86">
        <v>80</v>
      </c>
      <c r="W29" s="86">
        <f t="shared" si="2"/>
        <v>293.71428571428572</v>
      </c>
      <c r="AA29" s="90" t="s">
        <v>10</v>
      </c>
      <c r="AB29" s="86"/>
      <c r="AC29" s="86"/>
      <c r="AD29" s="86"/>
      <c r="AE29" s="86"/>
      <c r="AF29" s="86"/>
      <c r="AG29" s="86"/>
      <c r="AH29" s="86"/>
      <c r="AI29" s="86"/>
      <c r="AJ29" s="86"/>
      <c r="AK29" s="86">
        <f t="shared" si="1"/>
        <v>0</v>
      </c>
      <c r="AL29" s="2"/>
      <c r="AM29" s="2"/>
      <c r="AP29" s="12">
        <v>17</v>
      </c>
      <c r="AQ29" s="83" t="s">
        <v>46</v>
      </c>
      <c r="AR29" s="86">
        <v>0</v>
      </c>
      <c r="AS29" s="86">
        <v>0</v>
      </c>
      <c r="AT29" s="86">
        <v>1</v>
      </c>
      <c r="AU29" s="86">
        <v>2</v>
      </c>
      <c r="AV29" s="86">
        <v>0</v>
      </c>
      <c r="AW29" s="86">
        <v>0</v>
      </c>
      <c r="AX29" s="17">
        <v>1</v>
      </c>
      <c r="AY29" s="213">
        <f t="shared" si="3"/>
        <v>0.5714285714285714</v>
      </c>
      <c r="BB29" s="2"/>
      <c r="BV29" s="2"/>
      <c r="BW29" s="2"/>
      <c r="BX29" s="2"/>
      <c r="BY29" s="2"/>
      <c r="BZ29" s="2"/>
      <c r="CA29" s="2"/>
      <c r="CB29" s="2"/>
      <c r="CC29" s="2"/>
      <c r="CD29" s="2"/>
      <c r="CE29" s="2"/>
      <c r="CF29" s="2"/>
      <c r="CG29" s="2"/>
    </row>
    <row r="30" spans="1:85" x14ac:dyDescent="0.45">
      <c r="A30" s="3" t="s">
        <v>11</v>
      </c>
      <c r="B30" s="77">
        <v>0</v>
      </c>
      <c r="C30" s="77">
        <v>0</v>
      </c>
      <c r="D30" s="77">
        <v>0</v>
      </c>
      <c r="E30" s="77">
        <v>0</v>
      </c>
      <c r="F30" s="77">
        <v>0</v>
      </c>
      <c r="G30" s="77">
        <v>0</v>
      </c>
      <c r="H30" s="77">
        <v>179</v>
      </c>
      <c r="I30" s="77">
        <v>427</v>
      </c>
      <c r="J30" s="77">
        <v>0</v>
      </c>
      <c r="K30" s="77">
        <f t="shared" si="0"/>
        <v>606</v>
      </c>
      <c r="L30" s="2"/>
      <c r="N30" s="12">
        <v>17</v>
      </c>
      <c r="O30" s="3" t="s">
        <v>12</v>
      </c>
      <c r="P30" s="86">
        <v>10</v>
      </c>
      <c r="Q30" s="86">
        <v>28</v>
      </c>
      <c r="R30" s="86">
        <v>24</v>
      </c>
      <c r="S30" s="86">
        <v>17</v>
      </c>
      <c r="T30" s="86">
        <v>12</v>
      </c>
      <c r="U30" s="86">
        <v>19</v>
      </c>
      <c r="V30" s="208">
        <v>3</v>
      </c>
      <c r="W30" s="86">
        <f t="shared" si="2"/>
        <v>16.142857142857142</v>
      </c>
      <c r="AA30" s="90" t="s">
        <v>11</v>
      </c>
      <c r="AB30" s="86"/>
      <c r="AC30" s="86"/>
      <c r="AD30" s="86"/>
      <c r="AE30" s="86"/>
      <c r="AF30" s="86">
        <v>50</v>
      </c>
      <c r="AG30" s="86">
        <v>1800</v>
      </c>
      <c r="AH30" s="86">
        <v>3500</v>
      </c>
      <c r="AI30" s="86">
        <v>11500</v>
      </c>
      <c r="AJ30" s="86">
        <v>100</v>
      </c>
      <c r="AK30" s="86">
        <f t="shared" si="1"/>
        <v>16950</v>
      </c>
      <c r="AL30" s="2"/>
      <c r="AM30" s="2"/>
      <c r="AP30" s="12">
        <v>18</v>
      </c>
      <c r="AQ30" s="3" t="s">
        <v>13</v>
      </c>
      <c r="AR30" s="86">
        <v>7</v>
      </c>
      <c r="AS30" s="86">
        <v>2</v>
      </c>
      <c r="AT30" s="86">
        <v>2</v>
      </c>
      <c r="AU30" s="86">
        <v>1</v>
      </c>
      <c r="AV30" s="86">
        <v>0</v>
      </c>
      <c r="AW30" s="86">
        <v>20</v>
      </c>
      <c r="AX30" s="17">
        <v>26</v>
      </c>
      <c r="AY30" s="86">
        <f t="shared" si="3"/>
        <v>8.2857142857142865</v>
      </c>
      <c r="BB30" s="2"/>
      <c r="BV30" s="2"/>
      <c r="BW30" s="2"/>
      <c r="BX30" s="2"/>
      <c r="BY30" s="2"/>
      <c r="BZ30" s="2"/>
      <c r="CA30" s="2"/>
      <c r="CB30" s="2"/>
      <c r="CC30" s="2"/>
      <c r="CD30" s="2"/>
      <c r="CE30" s="2"/>
      <c r="CF30" s="2"/>
      <c r="CG30" s="2"/>
    </row>
    <row r="31" spans="1:85" x14ac:dyDescent="0.45">
      <c r="A31" s="3" t="s">
        <v>12</v>
      </c>
      <c r="B31" s="77">
        <v>0</v>
      </c>
      <c r="C31" s="77">
        <v>0</v>
      </c>
      <c r="D31" s="77">
        <v>0</v>
      </c>
      <c r="E31" s="77">
        <v>0</v>
      </c>
      <c r="F31" s="77">
        <v>1</v>
      </c>
      <c r="G31" s="77">
        <v>2</v>
      </c>
      <c r="H31" s="77">
        <v>5</v>
      </c>
      <c r="I31" s="77">
        <v>0</v>
      </c>
      <c r="J31" s="77">
        <v>2</v>
      </c>
      <c r="K31" s="77">
        <f t="shared" si="0"/>
        <v>10</v>
      </c>
      <c r="L31" s="2"/>
      <c r="N31" s="12">
        <v>18</v>
      </c>
      <c r="O31" s="83" t="s">
        <v>32</v>
      </c>
      <c r="P31" s="86">
        <v>8</v>
      </c>
      <c r="Q31" s="86">
        <v>6</v>
      </c>
      <c r="R31" s="86">
        <v>3</v>
      </c>
      <c r="S31" s="86">
        <v>5</v>
      </c>
      <c r="T31" s="86">
        <v>8</v>
      </c>
      <c r="U31" s="86">
        <v>8</v>
      </c>
      <c r="V31" s="86">
        <v>1</v>
      </c>
      <c r="W31" s="86">
        <f t="shared" si="2"/>
        <v>5.5714285714285712</v>
      </c>
      <c r="AA31" s="90" t="s">
        <v>12</v>
      </c>
      <c r="AB31" s="86"/>
      <c r="AC31" s="86"/>
      <c r="AD31" s="86">
        <v>3</v>
      </c>
      <c r="AE31" s="86">
        <v>3</v>
      </c>
      <c r="AF31" s="86"/>
      <c r="AG31" s="86"/>
      <c r="AH31" s="86">
        <v>3</v>
      </c>
      <c r="AI31" s="86">
        <v>200</v>
      </c>
      <c r="AJ31" s="86"/>
      <c r="AK31" s="86">
        <f t="shared" si="1"/>
        <v>209</v>
      </c>
      <c r="AL31" s="2"/>
      <c r="AM31" s="2"/>
      <c r="AP31" s="12">
        <v>19</v>
      </c>
      <c r="AQ31" s="3" t="s">
        <v>14</v>
      </c>
      <c r="AR31" s="86">
        <v>3338</v>
      </c>
      <c r="AS31" s="86">
        <v>60</v>
      </c>
      <c r="AT31" s="86">
        <v>459</v>
      </c>
      <c r="AU31" s="86">
        <v>523</v>
      </c>
      <c r="AV31" s="86">
        <v>133</v>
      </c>
      <c r="AW31" s="86">
        <v>1462</v>
      </c>
      <c r="AX31" s="17">
        <v>1872</v>
      </c>
      <c r="AY31" s="86">
        <f t="shared" si="3"/>
        <v>1121</v>
      </c>
      <c r="BB31" s="2"/>
      <c r="BV31" s="2"/>
      <c r="BW31" s="2"/>
      <c r="BX31" s="2"/>
      <c r="BY31" s="2"/>
      <c r="BZ31" s="2"/>
      <c r="CA31" s="2"/>
      <c r="CB31" s="2"/>
      <c r="CC31" s="2"/>
      <c r="CD31" s="2"/>
      <c r="CE31" s="2"/>
      <c r="CF31" s="2"/>
      <c r="CG31" s="2"/>
    </row>
    <row r="32" spans="1:85" x14ac:dyDescent="0.45">
      <c r="A32" s="83" t="s">
        <v>32</v>
      </c>
      <c r="B32" s="77">
        <v>0</v>
      </c>
      <c r="C32" s="77">
        <v>0</v>
      </c>
      <c r="D32" s="77">
        <v>0</v>
      </c>
      <c r="E32" s="77">
        <v>0</v>
      </c>
      <c r="F32" s="77"/>
      <c r="G32" s="77">
        <v>1</v>
      </c>
      <c r="H32" s="77">
        <v>5</v>
      </c>
      <c r="I32" s="77">
        <v>2</v>
      </c>
      <c r="J32" s="77"/>
      <c r="K32" s="77">
        <f t="shared" si="0"/>
        <v>8</v>
      </c>
      <c r="L32" s="2"/>
      <c r="N32" s="12"/>
      <c r="O32" s="209" t="s">
        <v>18</v>
      </c>
      <c r="P32" s="208">
        <v>29</v>
      </c>
      <c r="Q32" s="208">
        <v>32</v>
      </c>
      <c r="R32" s="208">
        <v>14</v>
      </c>
      <c r="S32" s="208">
        <v>41</v>
      </c>
      <c r="T32" s="208">
        <v>1364</v>
      </c>
      <c r="U32" s="208">
        <v>0</v>
      </c>
      <c r="V32" s="86">
        <v>3</v>
      </c>
      <c r="W32" s="86">
        <f t="shared" si="2"/>
        <v>211.85714285714286</v>
      </c>
      <c r="AA32" s="90" t="s">
        <v>32</v>
      </c>
      <c r="AB32" s="86"/>
      <c r="AC32" s="86"/>
      <c r="AD32" s="86"/>
      <c r="AE32" s="86"/>
      <c r="AF32" s="86"/>
      <c r="AG32" s="86"/>
      <c r="AH32" s="86">
        <v>5</v>
      </c>
      <c r="AI32" s="86">
        <v>3</v>
      </c>
      <c r="AJ32" s="86"/>
      <c r="AK32" s="86">
        <f t="shared" si="1"/>
        <v>8</v>
      </c>
      <c r="AL32" s="2"/>
      <c r="AM32" s="2"/>
      <c r="AP32" s="12">
        <v>20</v>
      </c>
      <c r="AQ32" s="90" t="s">
        <v>40</v>
      </c>
      <c r="AR32" s="86">
        <v>0</v>
      </c>
      <c r="AS32" s="86">
        <v>0</v>
      </c>
      <c r="AT32" s="86">
        <v>0</v>
      </c>
      <c r="AU32" s="86">
        <v>0</v>
      </c>
      <c r="AV32" s="86">
        <v>2</v>
      </c>
      <c r="AW32" s="86">
        <v>9</v>
      </c>
      <c r="AX32" s="86">
        <v>0</v>
      </c>
      <c r="AY32" s="86">
        <f t="shared" si="3"/>
        <v>1.5714285714285714</v>
      </c>
      <c r="BB32" s="2"/>
      <c r="BV32" s="2"/>
      <c r="BW32" s="2"/>
      <c r="BX32" s="2"/>
      <c r="BY32" s="2"/>
      <c r="BZ32" s="2"/>
      <c r="CA32" s="2"/>
      <c r="CB32" s="2"/>
      <c r="CC32" s="2"/>
      <c r="CD32" s="2"/>
      <c r="CE32" s="2"/>
      <c r="CF32" s="2"/>
      <c r="CG32" s="2"/>
    </row>
    <row r="33" spans="1:85" x14ac:dyDescent="0.45">
      <c r="A33" s="3" t="s">
        <v>18</v>
      </c>
      <c r="B33" s="77">
        <v>0</v>
      </c>
      <c r="C33" s="77">
        <v>0</v>
      </c>
      <c r="D33" s="77">
        <v>0</v>
      </c>
      <c r="E33" s="77">
        <v>0</v>
      </c>
      <c r="F33" s="77">
        <v>0</v>
      </c>
      <c r="G33" s="77">
        <v>0</v>
      </c>
      <c r="H33" s="77">
        <v>0</v>
      </c>
      <c r="I33" s="77">
        <v>19</v>
      </c>
      <c r="J33" s="77">
        <v>10</v>
      </c>
      <c r="K33" s="77">
        <f t="shared" si="0"/>
        <v>29</v>
      </c>
      <c r="L33" s="2"/>
      <c r="N33" s="12">
        <v>19</v>
      </c>
      <c r="O33" s="153" t="s">
        <v>46</v>
      </c>
      <c r="U33" s="86">
        <v>3</v>
      </c>
      <c r="V33" s="86">
        <v>0</v>
      </c>
      <c r="W33" s="213">
        <f t="shared" si="2"/>
        <v>0.42857142857142855</v>
      </c>
      <c r="AA33" s="90" t="s">
        <v>146</v>
      </c>
      <c r="AB33" s="86"/>
      <c r="AC33" s="86"/>
      <c r="AD33" s="86"/>
      <c r="AE33" s="86"/>
      <c r="AF33" s="86"/>
      <c r="AG33" s="86"/>
      <c r="AH33" s="86"/>
      <c r="AI33" s="86"/>
      <c r="AJ33" s="86"/>
      <c r="AK33" s="86">
        <f t="shared" si="1"/>
        <v>0</v>
      </c>
      <c r="AL33" s="2"/>
      <c r="AM33" s="2"/>
      <c r="AP33" s="12">
        <v>21</v>
      </c>
      <c r="AQ33" s="83" t="s">
        <v>52</v>
      </c>
      <c r="AR33" s="86">
        <v>1</v>
      </c>
      <c r="AS33" s="86">
        <v>0</v>
      </c>
      <c r="AT33" s="86">
        <v>0</v>
      </c>
      <c r="AU33" s="86">
        <v>1</v>
      </c>
      <c r="AV33" s="86">
        <v>0</v>
      </c>
      <c r="AW33" s="86">
        <v>0</v>
      </c>
      <c r="AX33" s="86">
        <v>0</v>
      </c>
      <c r="AY33" s="213">
        <f t="shared" si="3"/>
        <v>0.2857142857142857</v>
      </c>
      <c r="BB33" s="2"/>
      <c r="BV33" s="2"/>
      <c r="BW33" s="2"/>
      <c r="BX33" s="2"/>
      <c r="BY33" s="2"/>
      <c r="BZ33" s="2"/>
      <c r="CA33" s="2"/>
      <c r="CB33" s="2"/>
      <c r="CC33" s="2"/>
      <c r="CD33" s="2"/>
      <c r="CE33" s="2"/>
      <c r="CF33" s="2"/>
      <c r="CG33" s="2"/>
    </row>
    <row r="34" spans="1:85" x14ac:dyDescent="0.45">
      <c r="A34" s="83" t="s">
        <v>46</v>
      </c>
      <c r="B34" s="77">
        <v>0</v>
      </c>
      <c r="C34" s="77">
        <v>0</v>
      </c>
      <c r="D34" s="77">
        <v>0</v>
      </c>
      <c r="E34" s="77">
        <v>0</v>
      </c>
      <c r="F34" s="77">
        <v>0</v>
      </c>
      <c r="G34" s="77">
        <v>0</v>
      </c>
      <c r="H34" s="77">
        <v>0</v>
      </c>
      <c r="I34" s="77">
        <v>0</v>
      </c>
      <c r="J34" s="77">
        <v>0</v>
      </c>
      <c r="K34" s="77">
        <f t="shared" si="0"/>
        <v>0</v>
      </c>
      <c r="L34" s="2"/>
      <c r="N34" s="12">
        <v>20</v>
      </c>
      <c r="O34" s="3" t="s">
        <v>13</v>
      </c>
      <c r="P34" s="86">
        <v>3</v>
      </c>
      <c r="Q34" s="86">
        <v>9</v>
      </c>
      <c r="R34" s="86">
        <v>0</v>
      </c>
      <c r="S34" s="86">
        <v>1</v>
      </c>
      <c r="T34" s="142">
        <v>6</v>
      </c>
      <c r="U34" s="86">
        <v>20</v>
      </c>
      <c r="V34" s="86">
        <v>3</v>
      </c>
      <c r="W34" s="86">
        <f t="shared" si="2"/>
        <v>6</v>
      </c>
      <c r="AA34" s="90" t="s">
        <v>46</v>
      </c>
      <c r="AB34" s="86"/>
      <c r="AC34" s="86"/>
      <c r="AD34" s="86"/>
      <c r="AE34" s="86"/>
      <c r="AF34" s="86"/>
      <c r="AG34" s="86"/>
      <c r="AH34" s="86"/>
      <c r="AI34" s="86"/>
      <c r="AJ34" s="86"/>
      <c r="AK34" s="86">
        <f t="shared" si="1"/>
        <v>0</v>
      </c>
      <c r="AL34" s="2"/>
      <c r="AM34" s="2"/>
      <c r="AP34" s="12">
        <v>22</v>
      </c>
      <c r="AQ34" s="83" t="s">
        <v>53</v>
      </c>
      <c r="AR34" s="86">
        <v>0</v>
      </c>
      <c r="AS34" s="86">
        <v>0</v>
      </c>
      <c r="AT34" s="86">
        <v>2</v>
      </c>
      <c r="AU34" s="86">
        <v>5</v>
      </c>
      <c r="AV34" s="86">
        <v>0</v>
      </c>
      <c r="AW34" s="86">
        <v>0</v>
      </c>
      <c r="AX34" s="17">
        <v>1</v>
      </c>
      <c r="AY34" s="86">
        <f t="shared" si="3"/>
        <v>1.1428571428571428</v>
      </c>
      <c r="BB34" s="2"/>
      <c r="BV34" s="2"/>
      <c r="BW34" s="2"/>
      <c r="BX34" s="2"/>
      <c r="BY34" s="2"/>
      <c r="BZ34" s="2"/>
      <c r="CA34" s="2"/>
      <c r="CB34" s="2"/>
      <c r="CC34" s="2"/>
      <c r="CD34" s="2"/>
      <c r="CE34" s="2"/>
      <c r="CF34" s="2"/>
      <c r="CG34" s="2"/>
    </row>
    <row r="35" spans="1:85" x14ac:dyDescent="0.45">
      <c r="A35" s="3" t="s">
        <v>13</v>
      </c>
      <c r="B35" s="77">
        <v>0</v>
      </c>
      <c r="C35" s="77">
        <v>0</v>
      </c>
      <c r="D35" s="77">
        <v>0</v>
      </c>
      <c r="E35" s="77">
        <v>0</v>
      </c>
      <c r="F35" s="77">
        <v>0</v>
      </c>
      <c r="G35" s="77">
        <v>0</v>
      </c>
      <c r="H35" s="77">
        <v>3</v>
      </c>
      <c r="I35" s="77">
        <v>0</v>
      </c>
      <c r="J35" s="77">
        <v>0</v>
      </c>
      <c r="K35" s="77">
        <f t="shared" si="0"/>
        <v>3</v>
      </c>
      <c r="L35" s="2"/>
      <c r="N35" s="12">
        <v>21</v>
      </c>
      <c r="O35" s="3" t="s">
        <v>14</v>
      </c>
      <c r="P35" s="86">
        <v>67</v>
      </c>
      <c r="Q35" s="86">
        <v>27</v>
      </c>
      <c r="R35" s="86">
        <v>24</v>
      </c>
      <c r="S35" s="86">
        <v>9</v>
      </c>
      <c r="T35" s="86">
        <v>47</v>
      </c>
      <c r="U35" s="86">
        <v>69</v>
      </c>
      <c r="V35" s="86">
        <v>41</v>
      </c>
      <c r="W35" s="86">
        <f t="shared" si="2"/>
        <v>40.571428571428569</v>
      </c>
      <c r="AA35" s="90" t="s">
        <v>13</v>
      </c>
      <c r="AB35" s="86"/>
      <c r="AC35" s="86"/>
      <c r="AD35" s="86"/>
      <c r="AE35" s="86"/>
      <c r="AF35" s="86"/>
      <c r="AG35" s="86"/>
      <c r="AH35" s="86"/>
      <c r="AI35" s="86">
        <v>7</v>
      </c>
      <c r="AJ35" s="86"/>
      <c r="AK35" s="86">
        <f t="shared" si="1"/>
        <v>7</v>
      </c>
      <c r="AL35" s="2"/>
      <c r="AM35" s="2"/>
      <c r="AP35" s="12">
        <v>23</v>
      </c>
      <c r="AQ35" s="3" t="s">
        <v>15</v>
      </c>
      <c r="AR35" s="86">
        <v>620</v>
      </c>
      <c r="AS35" s="86">
        <v>174</v>
      </c>
      <c r="AT35" s="86">
        <v>195</v>
      </c>
      <c r="AU35" s="86">
        <v>378</v>
      </c>
      <c r="AV35" s="86">
        <v>158</v>
      </c>
      <c r="AW35" s="86">
        <v>429</v>
      </c>
      <c r="AX35" s="17">
        <v>122</v>
      </c>
      <c r="AY35" s="86">
        <f t="shared" si="3"/>
        <v>296.57142857142856</v>
      </c>
      <c r="BB35" s="2"/>
      <c r="BV35" s="2"/>
      <c r="BW35" s="2"/>
      <c r="BX35" s="2"/>
      <c r="BY35" s="2"/>
      <c r="BZ35" s="2"/>
      <c r="CA35" s="2"/>
      <c r="CB35" s="2"/>
      <c r="CC35" s="2"/>
      <c r="CD35" s="2"/>
      <c r="CE35" s="2"/>
      <c r="CF35" s="2"/>
      <c r="CG35" s="2"/>
    </row>
    <row r="36" spans="1:85" x14ac:dyDescent="0.45">
      <c r="A36" s="3" t="s">
        <v>14</v>
      </c>
      <c r="B36" s="77">
        <v>0</v>
      </c>
      <c r="C36" s="77">
        <v>0</v>
      </c>
      <c r="D36" s="77">
        <v>0</v>
      </c>
      <c r="E36" s="77">
        <v>1</v>
      </c>
      <c r="F36" s="77">
        <v>9</v>
      </c>
      <c r="G36" s="19">
        <v>26</v>
      </c>
      <c r="H36" s="19">
        <v>10</v>
      </c>
      <c r="I36" s="19">
        <v>20</v>
      </c>
      <c r="J36" s="19">
        <v>1</v>
      </c>
      <c r="K36" s="77">
        <f t="shared" si="0"/>
        <v>67</v>
      </c>
      <c r="L36" s="2"/>
      <c r="N36" s="12">
        <v>22</v>
      </c>
      <c r="O36" s="83" t="s">
        <v>40</v>
      </c>
      <c r="P36" s="86">
        <v>16</v>
      </c>
      <c r="Q36" s="86">
        <v>22</v>
      </c>
      <c r="R36" s="86">
        <v>1</v>
      </c>
      <c r="S36" s="142">
        <v>0</v>
      </c>
      <c r="T36" s="142">
        <v>0</v>
      </c>
      <c r="U36" s="86">
        <v>2</v>
      </c>
      <c r="V36" s="86">
        <v>0</v>
      </c>
      <c r="W36" s="86">
        <f t="shared" si="2"/>
        <v>5.8571428571428568</v>
      </c>
      <c r="AA36" s="90" t="s">
        <v>14</v>
      </c>
      <c r="AB36" s="86"/>
      <c r="AC36" s="86">
        <v>4</v>
      </c>
      <c r="AD36" s="86">
        <v>19</v>
      </c>
      <c r="AE36" s="86">
        <v>75</v>
      </c>
      <c r="AF36" s="86">
        <v>5</v>
      </c>
      <c r="AG36" s="86">
        <v>700</v>
      </c>
      <c r="AH36" s="86">
        <v>1000</v>
      </c>
      <c r="AI36" s="86">
        <v>1500</v>
      </c>
      <c r="AJ36" s="86">
        <v>35</v>
      </c>
      <c r="AK36" s="86">
        <f t="shared" si="1"/>
        <v>3338</v>
      </c>
      <c r="AL36" s="2"/>
      <c r="AM36" s="2"/>
      <c r="AP36" s="12">
        <v>24</v>
      </c>
      <c r="AQ36" s="83" t="s">
        <v>54</v>
      </c>
      <c r="AR36" s="86">
        <v>42</v>
      </c>
      <c r="AS36" s="86">
        <v>0</v>
      </c>
      <c r="AT36" s="86">
        <v>0</v>
      </c>
      <c r="AU36" s="86">
        <v>0</v>
      </c>
      <c r="AV36" s="86">
        <v>0</v>
      </c>
      <c r="AW36" s="86">
        <v>4</v>
      </c>
      <c r="AX36" s="86">
        <v>0</v>
      </c>
      <c r="AY36" s="86">
        <f t="shared" si="3"/>
        <v>6.5714285714285712</v>
      </c>
      <c r="BB36" s="2"/>
      <c r="BV36" s="2"/>
      <c r="BW36" s="2"/>
      <c r="BX36" s="2"/>
      <c r="BY36" s="2"/>
      <c r="BZ36" s="2"/>
      <c r="CA36" s="2"/>
      <c r="CB36" s="2"/>
      <c r="CC36" s="2"/>
      <c r="CD36" s="2"/>
      <c r="CE36" s="2"/>
      <c r="CF36" s="2"/>
      <c r="CG36" s="2"/>
    </row>
    <row r="37" spans="1:85" x14ac:dyDescent="0.45">
      <c r="A37" s="83" t="s">
        <v>40</v>
      </c>
      <c r="B37" s="77">
        <v>12</v>
      </c>
      <c r="C37" s="77">
        <v>0</v>
      </c>
      <c r="D37" s="77">
        <v>4</v>
      </c>
      <c r="E37" s="77">
        <v>0</v>
      </c>
      <c r="F37" s="77">
        <v>0</v>
      </c>
      <c r="G37" s="77">
        <v>0</v>
      </c>
      <c r="H37" s="77">
        <v>0</v>
      </c>
      <c r="I37" s="77">
        <v>0</v>
      </c>
      <c r="J37" s="77">
        <v>0</v>
      </c>
      <c r="K37" s="77">
        <f t="shared" si="0"/>
        <v>16</v>
      </c>
      <c r="L37" s="2"/>
      <c r="N37" s="12">
        <v>23</v>
      </c>
      <c r="O37" s="83" t="s">
        <v>53</v>
      </c>
      <c r="P37" s="86">
        <v>0</v>
      </c>
      <c r="Q37" s="86">
        <v>3</v>
      </c>
      <c r="R37" s="86">
        <v>0</v>
      </c>
      <c r="S37" s="142">
        <v>0</v>
      </c>
      <c r="T37" s="142">
        <v>0</v>
      </c>
      <c r="U37" s="86">
        <v>2</v>
      </c>
      <c r="V37" s="208">
        <v>0</v>
      </c>
      <c r="W37" s="213">
        <f t="shared" si="2"/>
        <v>0.7142857142857143</v>
      </c>
      <c r="AA37" s="90" t="s">
        <v>40</v>
      </c>
      <c r="AB37" s="86"/>
      <c r="AC37" s="86"/>
      <c r="AD37" s="86"/>
      <c r="AE37" s="86"/>
      <c r="AF37" s="86"/>
      <c r="AG37" s="86"/>
      <c r="AH37" s="86"/>
      <c r="AI37" s="86"/>
      <c r="AJ37" s="86"/>
      <c r="AK37" s="86">
        <f t="shared" si="1"/>
        <v>0</v>
      </c>
      <c r="AL37" s="2"/>
      <c r="AM37" s="2"/>
      <c r="AP37" s="12"/>
      <c r="AQ37" s="83" t="s">
        <v>47</v>
      </c>
      <c r="AR37" s="86">
        <v>3</v>
      </c>
      <c r="AS37" s="86">
        <v>0</v>
      </c>
      <c r="AT37" s="86">
        <v>0</v>
      </c>
      <c r="AU37" s="86">
        <v>0</v>
      </c>
      <c r="AV37" s="86">
        <v>0</v>
      </c>
      <c r="AW37" s="86">
        <v>0</v>
      </c>
      <c r="AX37" s="86">
        <v>0</v>
      </c>
      <c r="AY37" s="213">
        <f t="shared" si="3"/>
        <v>0.42857142857142855</v>
      </c>
      <c r="BB37" s="2"/>
      <c r="BV37" s="2"/>
      <c r="BW37" s="2"/>
      <c r="BX37" s="2"/>
      <c r="BY37" s="2"/>
      <c r="BZ37" s="2"/>
      <c r="CA37" s="2"/>
      <c r="CB37" s="2"/>
      <c r="CC37" s="2"/>
      <c r="CD37" s="2"/>
      <c r="CE37" s="2"/>
      <c r="CF37" s="2"/>
      <c r="CG37" s="2"/>
    </row>
    <row r="38" spans="1:85" x14ac:dyDescent="0.45">
      <c r="A38" s="83" t="s">
        <v>52</v>
      </c>
      <c r="B38" s="77">
        <v>0</v>
      </c>
      <c r="C38" s="77">
        <v>0</v>
      </c>
      <c r="D38" s="77">
        <v>0</v>
      </c>
      <c r="E38" s="77">
        <v>0</v>
      </c>
      <c r="F38" s="77">
        <v>0</v>
      </c>
      <c r="G38" s="77">
        <v>0</v>
      </c>
      <c r="H38" s="77">
        <v>0</v>
      </c>
      <c r="I38" s="77">
        <v>0</v>
      </c>
      <c r="J38" s="77">
        <v>0</v>
      </c>
      <c r="K38" s="77">
        <f t="shared" si="0"/>
        <v>0</v>
      </c>
      <c r="L38" s="2"/>
      <c r="N38" s="12">
        <v>24</v>
      </c>
      <c r="O38" s="3" t="s">
        <v>15</v>
      </c>
      <c r="P38" s="86">
        <v>15</v>
      </c>
      <c r="Q38" s="86">
        <v>27</v>
      </c>
      <c r="R38" s="86">
        <v>5</v>
      </c>
      <c r="S38" s="86">
        <v>4</v>
      </c>
      <c r="T38" s="142">
        <v>14</v>
      </c>
      <c r="U38" s="86">
        <v>4</v>
      </c>
      <c r="V38" s="86">
        <v>11</v>
      </c>
      <c r="W38" s="86">
        <f t="shared" si="2"/>
        <v>11.428571428571429</v>
      </c>
      <c r="AA38" s="90" t="s">
        <v>52</v>
      </c>
      <c r="AB38" s="86"/>
      <c r="AC38" s="86"/>
      <c r="AD38" s="86"/>
      <c r="AE38" s="86"/>
      <c r="AF38" s="86"/>
      <c r="AG38" s="86"/>
      <c r="AH38" s="86"/>
      <c r="AI38" s="86">
        <v>1</v>
      </c>
      <c r="AJ38" s="86"/>
      <c r="AK38" s="86">
        <f t="shared" si="1"/>
        <v>1</v>
      </c>
      <c r="AL38" s="2"/>
      <c r="AM38" s="2"/>
      <c r="AP38" s="12">
        <v>25</v>
      </c>
      <c r="AQ38" s="3" t="s">
        <v>16</v>
      </c>
      <c r="AR38" s="86">
        <v>3</v>
      </c>
      <c r="AS38" s="86">
        <v>3</v>
      </c>
      <c r="AT38" s="86">
        <v>4</v>
      </c>
      <c r="AU38" s="86">
        <v>5</v>
      </c>
      <c r="AV38" s="86">
        <v>4</v>
      </c>
      <c r="AW38" s="86">
        <v>4</v>
      </c>
      <c r="AX38" s="17">
        <v>7</v>
      </c>
      <c r="AY38" s="86">
        <f t="shared" si="3"/>
        <v>4.2857142857142856</v>
      </c>
      <c r="BB38" s="2"/>
      <c r="BV38" s="2"/>
      <c r="BW38" s="2"/>
      <c r="BX38" s="2"/>
      <c r="BY38" s="2"/>
      <c r="BZ38" s="2"/>
      <c r="CA38" s="2"/>
      <c r="CB38" s="2"/>
      <c r="CC38" s="2"/>
      <c r="CD38" s="2"/>
      <c r="CE38" s="2"/>
      <c r="CF38" s="2"/>
      <c r="CG38" s="2"/>
    </row>
    <row r="39" spans="1:85" x14ac:dyDescent="0.45">
      <c r="A39" s="83" t="s">
        <v>53</v>
      </c>
      <c r="B39" s="77">
        <v>0</v>
      </c>
      <c r="C39" s="77">
        <v>0</v>
      </c>
      <c r="D39" s="77">
        <v>0</v>
      </c>
      <c r="E39" s="77">
        <v>0</v>
      </c>
      <c r="F39" s="77">
        <v>0</v>
      </c>
      <c r="G39" s="77">
        <v>0</v>
      </c>
      <c r="H39" s="77">
        <v>0</v>
      </c>
      <c r="I39" s="77">
        <v>0</v>
      </c>
      <c r="J39" s="77">
        <v>0</v>
      </c>
      <c r="K39" s="77">
        <f t="shared" si="0"/>
        <v>0</v>
      </c>
      <c r="L39" s="2"/>
      <c r="N39" s="12">
        <v>25</v>
      </c>
      <c r="O39" s="83" t="s">
        <v>54</v>
      </c>
      <c r="P39" s="86">
        <v>18</v>
      </c>
      <c r="Q39" s="86">
        <v>7</v>
      </c>
      <c r="R39" s="86">
        <v>3</v>
      </c>
      <c r="S39" s="142">
        <v>0</v>
      </c>
      <c r="T39" s="130">
        <v>2</v>
      </c>
      <c r="U39" s="86">
        <v>3</v>
      </c>
      <c r="V39" s="130">
        <v>2</v>
      </c>
      <c r="W39" s="86">
        <f t="shared" si="2"/>
        <v>5</v>
      </c>
      <c r="AA39" s="90" t="s">
        <v>53</v>
      </c>
      <c r="AB39" s="86"/>
      <c r="AC39" s="86"/>
      <c r="AD39" s="86"/>
      <c r="AE39" s="86"/>
      <c r="AF39" s="86"/>
      <c r="AG39" s="86"/>
      <c r="AH39" s="86"/>
      <c r="AI39" s="86"/>
      <c r="AJ39" s="86"/>
      <c r="AK39" s="86">
        <f t="shared" si="1"/>
        <v>0</v>
      </c>
      <c r="AL39" s="2"/>
      <c r="AM39" s="2"/>
      <c r="AP39" s="12">
        <v>26</v>
      </c>
      <c r="AQ39" s="78" t="s">
        <v>17</v>
      </c>
      <c r="AR39" s="99">
        <v>0</v>
      </c>
      <c r="AS39" s="99">
        <v>2</v>
      </c>
      <c r="AT39" s="99">
        <v>0</v>
      </c>
      <c r="AU39" s="86">
        <v>0</v>
      </c>
      <c r="AV39" s="86">
        <v>0</v>
      </c>
      <c r="AW39" s="99">
        <v>1</v>
      </c>
      <c r="AX39" s="130">
        <v>0</v>
      </c>
      <c r="AY39" s="213">
        <f t="shared" si="3"/>
        <v>0.42857142857142855</v>
      </c>
      <c r="AZ39" s="17"/>
      <c r="BB39" s="2"/>
      <c r="BV39" s="2"/>
      <c r="BW39" s="2"/>
      <c r="BX39" s="2"/>
      <c r="BY39" s="2"/>
      <c r="BZ39" s="2"/>
      <c r="CA39" s="2"/>
      <c r="CB39" s="2"/>
      <c r="CC39" s="2"/>
      <c r="CD39" s="2"/>
      <c r="CE39" s="2"/>
      <c r="CF39" s="2"/>
      <c r="CG39" s="2"/>
    </row>
    <row r="40" spans="1:85" x14ac:dyDescent="0.45">
      <c r="A40" s="3" t="s">
        <v>15</v>
      </c>
      <c r="B40" s="77">
        <v>0</v>
      </c>
      <c r="C40" s="77">
        <v>0</v>
      </c>
      <c r="D40" s="77">
        <v>0</v>
      </c>
      <c r="E40" s="77">
        <v>0</v>
      </c>
      <c r="F40" s="77">
        <v>0</v>
      </c>
      <c r="G40" s="77">
        <v>0</v>
      </c>
      <c r="H40" s="77">
        <v>4</v>
      </c>
      <c r="I40" s="77">
        <v>2</v>
      </c>
      <c r="J40" s="77">
        <v>9</v>
      </c>
      <c r="K40" s="77">
        <f t="shared" si="0"/>
        <v>15</v>
      </c>
      <c r="L40" s="2"/>
      <c r="N40" s="12"/>
      <c r="O40" s="84" t="s">
        <v>47</v>
      </c>
      <c r="P40" s="208">
        <v>19</v>
      </c>
      <c r="Q40" s="208">
        <v>8</v>
      </c>
      <c r="R40" s="208">
        <v>15</v>
      </c>
      <c r="S40" s="208">
        <v>4</v>
      </c>
      <c r="T40" s="142">
        <v>3</v>
      </c>
      <c r="U40" s="208">
        <v>4</v>
      </c>
      <c r="V40" s="233">
        <v>8</v>
      </c>
      <c r="W40" s="86">
        <f t="shared" si="2"/>
        <v>8.7142857142857135</v>
      </c>
      <c r="AA40" s="90" t="s">
        <v>15</v>
      </c>
      <c r="AB40" s="86"/>
      <c r="AC40" s="86"/>
      <c r="AD40" s="86">
        <v>1</v>
      </c>
      <c r="AE40" s="86">
        <v>8</v>
      </c>
      <c r="AF40" s="86">
        <v>33</v>
      </c>
      <c r="AG40" s="86">
        <v>100</v>
      </c>
      <c r="AH40" s="86">
        <v>250</v>
      </c>
      <c r="AI40" s="86">
        <v>200</v>
      </c>
      <c r="AJ40" s="86">
        <v>28</v>
      </c>
      <c r="AK40" s="86">
        <f t="shared" si="1"/>
        <v>620</v>
      </c>
      <c r="AL40" s="2"/>
      <c r="AM40" s="2"/>
      <c r="AP40" s="73"/>
      <c r="AQ40" s="32" t="s">
        <v>57</v>
      </c>
      <c r="AR40" s="17">
        <f t="shared" ref="AR40:AW40" si="4">SUM(AR12:AR39)</f>
        <v>21363</v>
      </c>
      <c r="AS40" s="86">
        <f t="shared" si="4"/>
        <v>958</v>
      </c>
      <c r="AT40" s="86">
        <f t="shared" si="4"/>
        <v>5398</v>
      </c>
      <c r="AU40" s="160">
        <f t="shared" si="4"/>
        <v>3727</v>
      </c>
      <c r="AV40" s="160">
        <f t="shared" si="4"/>
        <v>3014</v>
      </c>
      <c r="AW40" s="17">
        <f t="shared" si="4"/>
        <v>16889</v>
      </c>
      <c r="AX40" s="164">
        <v>8875</v>
      </c>
      <c r="AY40" s="160">
        <f t="shared" si="3"/>
        <v>8603.4285714285706</v>
      </c>
      <c r="BB40" s="2"/>
      <c r="BV40" s="2"/>
      <c r="BW40" s="2"/>
      <c r="BX40" s="2"/>
      <c r="BY40" s="2"/>
      <c r="BZ40" s="2"/>
      <c r="CA40" s="2"/>
      <c r="CB40" s="2"/>
      <c r="CC40" s="2"/>
      <c r="CD40" s="2"/>
      <c r="CE40" s="2"/>
      <c r="CF40" s="2"/>
      <c r="CG40" s="2"/>
    </row>
    <row r="41" spans="1:85" x14ac:dyDescent="0.45">
      <c r="A41" s="83" t="s">
        <v>54</v>
      </c>
      <c r="B41" s="77">
        <v>0</v>
      </c>
      <c r="C41" s="77">
        <v>0</v>
      </c>
      <c r="D41" s="77">
        <v>0</v>
      </c>
      <c r="E41" s="77">
        <v>0</v>
      </c>
      <c r="F41" s="77">
        <v>0</v>
      </c>
      <c r="G41" s="77">
        <v>1</v>
      </c>
      <c r="H41" s="77">
        <v>3</v>
      </c>
      <c r="I41" s="77"/>
      <c r="J41" s="77">
        <v>14</v>
      </c>
      <c r="K41" s="77">
        <f t="shared" si="0"/>
        <v>18</v>
      </c>
      <c r="L41" s="2"/>
      <c r="N41" s="12">
        <v>26</v>
      </c>
      <c r="O41" s="3" t="s">
        <v>16</v>
      </c>
      <c r="P41" s="86">
        <v>3</v>
      </c>
      <c r="Q41" s="86">
        <v>1</v>
      </c>
      <c r="R41" s="86">
        <v>0</v>
      </c>
      <c r="S41" s="142">
        <v>0</v>
      </c>
      <c r="T41" s="86">
        <v>0</v>
      </c>
      <c r="U41" s="86">
        <v>1</v>
      </c>
      <c r="V41" s="17">
        <v>0</v>
      </c>
      <c r="W41" s="213">
        <f t="shared" si="2"/>
        <v>0.7142857142857143</v>
      </c>
      <c r="AA41" s="90" t="s">
        <v>54</v>
      </c>
      <c r="AB41" s="86"/>
      <c r="AC41" s="86"/>
      <c r="AD41" s="86"/>
      <c r="AE41" s="86"/>
      <c r="AF41" s="86"/>
      <c r="AG41" s="86">
        <v>25</v>
      </c>
      <c r="AH41" s="86">
        <v>6</v>
      </c>
      <c r="AI41" s="86">
        <v>4</v>
      </c>
      <c r="AJ41" s="86">
        <v>7</v>
      </c>
      <c r="AK41" s="86">
        <f t="shared" si="1"/>
        <v>42</v>
      </c>
      <c r="AL41" s="2"/>
      <c r="AM41" s="2"/>
      <c r="AP41" s="2"/>
      <c r="AQ41" s="28" t="s">
        <v>67</v>
      </c>
      <c r="AR41" s="86">
        <v>19</v>
      </c>
      <c r="AS41" s="86">
        <v>15</v>
      </c>
      <c r="AT41" s="86">
        <v>15</v>
      </c>
      <c r="AU41" s="86">
        <v>19</v>
      </c>
      <c r="AV41" s="86">
        <v>16</v>
      </c>
      <c r="AW41" s="17">
        <v>20</v>
      </c>
      <c r="AX41" s="17">
        <v>17</v>
      </c>
      <c r="AY41" s="86">
        <f t="shared" si="3"/>
        <v>17.285714285714285</v>
      </c>
      <c r="BB41" s="2"/>
      <c r="BV41" s="2"/>
      <c r="BW41" s="2"/>
      <c r="BX41" s="2"/>
      <c r="BY41" s="2"/>
      <c r="BZ41" s="2"/>
      <c r="CA41" s="2"/>
      <c r="CB41" s="2"/>
      <c r="CC41" s="2"/>
      <c r="CD41" s="2"/>
      <c r="CE41" s="2"/>
      <c r="CF41" s="2"/>
      <c r="CG41" s="2"/>
    </row>
    <row r="42" spans="1:85" x14ac:dyDescent="0.45">
      <c r="A42" s="83" t="s">
        <v>47</v>
      </c>
      <c r="B42" s="77">
        <v>0</v>
      </c>
      <c r="C42" s="77">
        <v>0</v>
      </c>
      <c r="D42" s="77">
        <v>0</v>
      </c>
      <c r="E42" s="77">
        <v>0</v>
      </c>
      <c r="F42" s="77">
        <v>0</v>
      </c>
      <c r="G42" s="77">
        <v>1</v>
      </c>
      <c r="H42" s="77">
        <v>13</v>
      </c>
      <c r="I42" s="77">
        <v>5</v>
      </c>
      <c r="J42" s="77">
        <v>0</v>
      </c>
      <c r="K42" s="77">
        <f t="shared" si="0"/>
        <v>19</v>
      </c>
      <c r="L42" s="2"/>
      <c r="N42" s="12">
        <v>27</v>
      </c>
      <c r="O42" s="78" t="s">
        <v>17</v>
      </c>
      <c r="P42" s="99">
        <v>0</v>
      </c>
      <c r="Q42" s="99">
        <v>5000</v>
      </c>
      <c r="R42" s="99">
        <v>400</v>
      </c>
      <c r="S42" s="142">
        <v>0</v>
      </c>
      <c r="T42" s="86">
        <v>0</v>
      </c>
      <c r="U42" s="86">
        <v>2</v>
      </c>
      <c r="V42">
        <v>1</v>
      </c>
      <c r="W42" s="86">
        <f t="shared" si="2"/>
        <v>771.85714285714289</v>
      </c>
      <c r="AA42" s="90" t="s">
        <v>47</v>
      </c>
      <c r="AB42" s="86"/>
      <c r="AC42" s="86">
        <v>3</v>
      </c>
      <c r="AD42" s="86"/>
      <c r="AE42" s="86"/>
      <c r="AF42" s="86"/>
      <c r="AG42" s="86"/>
      <c r="AH42" s="86"/>
      <c r="AI42" s="86"/>
      <c r="AJ42" s="86"/>
      <c r="AK42" s="86">
        <f t="shared" si="1"/>
        <v>3</v>
      </c>
      <c r="AL42" s="2"/>
      <c r="AM42" s="2"/>
      <c r="AY42" s="2"/>
      <c r="BB42" s="2"/>
      <c r="BV42" s="2"/>
      <c r="BW42" s="2"/>
      <c r="BX42" s="2"/>
      <c r="BY42" s="2"/>
      <c r="BZ42" s="2"/>
      <c r="CA42" s="2"/>
      <c r="CB42" s="2"/>
      <c r="CC42" s="2"/>
      <c r="CD42" s="2"/>
      <c r="CE42" s="2"/>
      <c r="CF42" s="2"/>
      <c r="CG42" s="2"/>
    </row>
    <row r="43" spans="1:85" x14ac:dyDescent="0.45">
      <c r="A43" s="3" t="s">
        <v>16</v>
      </c>
      <c r="B43" s="77">
        <v>0</v>
      </c>
      <c r="C43" s="77">
        <v>0</v>
      </c>
      <c r="D43" s="77">
        <v>0</v>
      </c>
      <c r="E43" s="77">
        <v>0</v>
      </c>
      <c r="F43" s="77">
        <v>0</v>
      </c>
      <c r="G43" s="77">
        <v>1</v>
      </c>
      <c r="H43" s="77">
        <v>1</v>
      </c>
      <c r="I43" s="77">
        <v>0</v>
      </c>
      <c r="J43" s="77">
        <v>1</v>
      </c>
      <c r="K43" s="77">
        <f t="shared" si="0"/>
        <v>3</v>
      </c>
      <c r="L43" s="2"/>
      <c r="N43" s="12"/>
      <c r="O43" s="32" t="s">
        <v>57</v>
      </c>
      <c r="P43" s="86">
        <f t="shared" ref="P43:U43" si="5">SUM(P12:P42)</f>
        <v>1065</v>
      </c>
      <c r="Q43" s="86">
        <f t="shared" si="5"/>
        <v>5476</v>
      </c>
      <c r="R43" s="86">
        <f t="shared" si="5"/>
        <v>818</v>
      </c>
      <c r="S43" s="160">
        <f t="shared" si="5"/>
        <v>212</v>
      </c>
      <c r="T43" s="160">
        <f t="shared" si="5"/>
        <v>1819</v>
      </c>
      <c r="U43" s="164">
        <f t="shared" si="5"/>
        <v>1162</v>
      </c>
      <c r="V43" s="164">
        <f>SUM(V12:V42)</f>
        <v>273</v>
      </c>
      <c r="W43" s="160">
        <f t="shared" si="2"/>
        <v>1546.4285714285713</v>
      </c>
      <c r="X43" s="17"/>
      <c r="AA43" s="90" t="s">
        <v>16</v>
      </c>
      <c r="AB43" s="86"/>
      <c r="AC43" s="86"/>
      <c r="AD43" s="86"/>
      <c r="AE43" s="86"/>
      <c r="AF43" s="86"/>
      <c r="AG43" s="86"/>
      <c r="AH43" s="86"/>
      <c r="AI43" s="86">
        <v>3</v>
      </c>
      <c r="AJ43" s="86"/>
      <c r="AK43" s="86">
        <f t="shared" si="1"/>
        <v>3</v>
      </c>
      <c r="AL43" s="2"/>
      <c r="AM43" s="2"/>
      <c r="AP43" s="2"/>
      <c r="AQ43" s="1" t="s">
        <v>153</v>
      </c>
      <c r="AR43" s="2"/>
      <c r="AS43" s="2"/>
      <c r="AT43" s="2"/>
      <c r="AU43" s="2"/>
      <c r="AV43" s="180"/>
      <c r="AW43" s="2"/>
      <c r="BB43" s="2"/>
      <c r="BV43" s="2"/>
      <c r="BW43" s="2"/>
      <c r="BX43" s="2"/>
      <c r="BY43" s="2"/>
      <c r="BZ43" s="2"/>
      <c r="CA43" s="2"/>
      <c r="CB43" s="2"/>
      <c r="CC43" s="2"/>
      <c r="CD43" s="2"/>
      <c r="CE43" s="2"/>
      <c r="CF43" s="2"/>
      <c r="CG43" s="2"/>
    </row>
    <row r="44" spans="1:85" x14ac:dyDescent="0.45">
      <c r="A44" s="83" t="s">
        <v>55</v>
      </c>
      <c r="B44" s="77">
        <v>0</v>
      </c>
      <c r="C44" s="77">
        <v>0</v>
      </c>
      <c r="D44" s="77">
        <v>0</v>
      </c>
      <c r="E44" s="77">
        <v>0</v>
      </c>
      <c r="F44" s="77">
        <v>0</v>
      </c>
      <c r="G44" s="77">
        <v>0</v>
      </c>
      <c r="H44" s="77">
        <v>0</v>
      </c>
      <c r="I44" s="77">
        <v>0</v>
      </c>
      <c r="J44" s="77">
        <v>0</v>
      </c>
      <c r="K44" s="77">
        <f t="shared" si="0"/>
        <v>0</v>
      </c>
      <c r="L44" s="2"/>
      <c r="N44" s="12"/>
      <c r="O44" s="28" t="s">
        <v>67</v>
      </c>
      <c r="P44" s="86">
        <v>21</v>
      </c>
      <c r="Q44" s="86">
        <v>19</v>
      </c>
      <c r="R44" s="86">
        <v>18</v>
      </c>
      <c r="S44" s="142">
        <v>15</v>
      </c>
      <c r="T44" s="86">
        <v>17</v>
      </c>
      <c r="U44" s="17">
        <v>25</v>
      </c>
      <c r="V44" s="17">
        <v>16</v>
      </c>
      <c r="W44" s="86">
        <f t="shared" si="2"/>
        <v>18.714285714285715</v>
      </c>
      <c r="AA44" s="34" t="s">
        <v>17</v>
      </c>
      <c r="AB44" s="99"/>
      <c r="AC44" s="99"/>
      <c r="AD44" s="99"/>
      <c r="AE44" s="99"/>
      <c r="AF44" s="99"/>
      <c r="AG44" s="99"/>
      <c r="AH44" s="99"/>
      <c r="AI44" s="99"/>
      <c r="AJ44" s="99"/>
      <c r="AK44" s="99">
        <f t="shared" si="1"/>
        <v>0</v>
      </c>
      <c r="AL44" s="2"/>
      <c r="AM44" s="2"/>
      <c r="AP44" s="2"/>
      <c r="AQ44" s="1" t="s">
        <v>60</v>
      </c>
      <c r="AR44" s="2"/>
      <c r="AS44" s="2"/>
      <c r="AT44" s="2"/>
      <c r="AU44" s="2"/>
      <c r="AV44" s="180"/>
      <c r="AW44" s="2"/>
      <c r="BB44" s="2"/>
      <c r="BV44" s="2"/>
      <c r="BW44" s="2"/>
      <c r="BX44" s="2"/>
      <c r="BY44" s="2"/>
      <c r="BZ44" s="2"/>
      <c r="CA44" s="2"/>
      <c r="CB44" s="2"/>
      <c r="CC44" s="2"/>
      <c r="CD44" s="2"/>
      <c r="CE44" s="2"/>
      <c r="CF44" s="2"/>
      <c r="CG44" s="2"/>
    </row>
    <row r="45" spans="1:85" x14ac:dyDescent="0.45">
      <c r="A45" s="3" t="s">
        <v>17</v>
      </c>
      <c r="B45" s="77">
        <v>0</v>
      </c>
      <c r="C45" s="77">
        <v>0</v>
      </c>
      <c r="D45" s="77">
        <v>0</v>
      </c>
      <c r="E45" s="77">
        <v>0</v>
      </c>
      <c r="F45" s="77">
        <v>0</v>
      </c>
      <c r="G45" s="77">
        <v>0</v>
      </c>
      <c r="H45" s="77">
        <v>0</v>
      </c>
      <c r="I45" s="77">
        <v>0</v>
      </c>
      <c r="J45" s="77">
        <v>0</v>
      </c>
      <c r="K45" s="77">
        <f t="shared" si="0"/>
        <v>0</v>
      </c>
      <c r="L45" s="2"/>
      <c r="N45" s="12"/>
      <c r="P45" s="2"/>
      <c r="AA45" s="95" t="s">
        <v>144</v>
      </c>
      <c r="AB45" s="86">
        <f t="shared" ref="AB45:AK45" si="6">SUM(AB12:AB44)</f>
        <v>0</v>
      </c>
      <c r="AC45" s="86">
        <f t="shared" si="6"/>
        <v>31</v>
      </c>
      <c r="AD45" s="86">
        <f t="shared" si="6"/>
        <v>38</v>
      </c>
      <c r="AE45" s="86">
        <f t="shared" si="6"/>
        <v>120</v>
      </c>
      <c r="AF45" s="86">
        <f t="shared" si="6"/>
        <v>98</v>
      </c>
      <c r="AG45" s="86">
        <f t="shared" si="6"/>
        <v>2644</v>
      </c>
      <c r="AH45" s="86">
        <f t="shared" si="6"/>
        <v>4786</v>
      </c>
      <c r="AI45" s="86">
        <f t="shared" si="6"/>
        <v>13467</v>
      </c>
      <c r="AJ45" s="86">
        <f t="shared" si="6"/>
        <v>179</v>
      </c>
      <c r="AK45" s="86">
        <f t="shared" si="6"/>
        <v>21363</v>
      </c>
      <c r="AL45" s="17">
        <f>SUM(AB45:AJ45)</f>
        <v>21363</v>
      </c>
      <c r="AM45" s="2"/>
      <c r="AP45" s="2"/>
      <c r="AR45" s="1"/>
      <c r="AS45" s="2"/>
      <c r="AT45" s="2"/>
      <c r="AU45" s="2"/>
      <c r="AV45" s="180"/>
      <c r="AW45" s="2"/>
      <c r="AZ45" s="2"/>
      <c r="BA45" s="2"/>
      <c r="BB45" s="2"/>
      <c r="BV45" s="2"/>
      <c r="BW45" s="2"/>
      <c r="BX45" s="2"/>
      <c r="BY45" s="2"/>
      <c r="BZ45" s="2"/>
      <c r="CA45" s="2"/>
      <c r="CB45" s="2"/>
      <c r="CC45" s="2"/>
      <c r="CD45" s="2"/>
      <c r="CE45" s="2"/>
      <c r="CF45" s="2"/>
      <c r="CG45" s="2"/>
    </row>
    <row r="46" spans="1:85" x14ac:dyDescent="0.45">
      <c r="A46" s="101" t="s">
        <v>140</v>
      </c>
      <c r="B46" s="77">
        <v>0</v>
      </c>
      <c r="C46" s="77">
        <v>0</v>
      </c>
      <c r="D46" s="77">
        <v>0</v>
      </c>
      <c r="E46" s="77">
        <v>0</v>
      </c>
      <c r="F46" s="77">
        <v>0</v>
      </c>
      <c r="G46" s="77">
        <v>0</v>
      </c>
      <c r="H46" s="77">
        <v>15</v>
      </c>
      <c r="I46" s="77">
        <v>0</v>
      </c>
      <c r="J46" s="77">
        <v>0</v>
      </c>
      <c r="K46" s="77">
        <f t="shared" si="0"/>
        <v>15</v>
      </c>
      <c r="L46" s="2"/>
      <c r="N46" s="12"/>
      <c r="AA46" s="2"/>
      <c r="AB46" s="73"/>
      <c r="AC46" s="73"/>
      <c r="AD46" s="2"/>
      <c r="AE46" s="2"/>
      <c r="AF46" s="2"/>
      <c r="AG46" s="2"/>
      <c r="AH46" s="2"/>
      <c r="AI46" s="2"/>
      <c r="AJ46" s="2"/>
      <c r="AK46" s="2"/>
      <c r="AL46" s="2"/>
      <c r="AM46" s="2"/>
      <c r="AP46" s="22" t="s">
        <v>141</v>
      </c>
      <c r="AQ46" s="108" t="s">
        <v>19</v>
      </c>
      <c r="AR46" s="155">
        <v>2013</v>
      </c>
      <c r="AS46" s="97">
        <v>2014</v>
      </c>
      <c r="AT46" s="97">
        <v>2015</v>
      </c>
      <c r="AU46" s="174">
        <v>2016</v>
      </c>
      <c r="AV46" s="174">
        <v>2017</v>
      </c>
      <c r="AW46" s="174">
        <v>2018</v>
      </c>
      <c r="AX46" s="174">
        <v>2019</v>
      </c>
      <c r="AY46" s="97" t="s">
        <v>61</v>
      </c>
      <c r="AZ46" s="2"/>
      <c r="BA46" s="2"/>
      <c r="BB46" s="2"/>
      <c r="BV46" s="2"/>
      <c r="BW46" s="2"/>
      <c r="BX46" s="2"/>
      <c r="BY46" s="2"/>
      <c r="BZ46" s="2"/>
      <c r="CA46" s="2"/>
      <c r="CB46" s="2"/>
      <c r="CC46" s="2"/>
      <c r="CD46" s="2"/>
      <c r="CE46" s="2"/>
      <c r="CF46" s="2"/>
      <c r="CG46" s="2"/>
    </row>
    <row r="47" spans="1:85" x14ac:dyDescent="0.45">
      <c r="A47" s="11" t="s">
        <v>24</v>
      </c>
      <c r="B47" s="77">
        <f t="shared" ref="B47:K47" si="7">SUM(B12:B46)</f>
        <v>12</v>
      </c>
      <c r="C47" s="77">
        <f t="shared" si="7"/>
        <v>0</v>
      </c>
      <c r="D47" s="77">
        <f t="shared" si="7"/>
        <v>35</v>
      </c>
      <c r="E47" s="77">
        <f t="shared" si="7"/>
        <v>49</v>
      </c>
      <c r="F47" s="77">
        <f t="shared" si="7"/>
        <v>77</v>
      </c>
      <c r="G47" s="77">
        <f t="shared" si="7"/>
        <v>68</v>
      </c>
      <c r="H47" s="77">
        <f t="shared" si="7"/>
        <v>283</v>
      </c>
      <c r="I47" s="77">
        <f t="shared" si="7"/>
        <v>493</v>
      </c>
      <c r="J47" s="77">
        <f t="shared" si="7"/>
        <v>48</v>
      </c>
      <c r="K47" s="77">
        <f t="shared" si="7"/>
        <v>1065</v>
      </c>
      <c r="L47" s="2"/>
      <c r="N47" s="2"/>
      <c r="O47" s="1" t="s">
        <v>138</v>
      </c>
      <c r="U47" s="2"/>
      <c r="AA47" s="111"/>
      <c r="AB47" s="73"/>
      <c r="AC47" s="73"/>
      <c r="AD47" s="2"/>
      <c r="AE47" s="2"/>
      <c r="AF47" s="2"/>
      <c r="AG47" s="2"/>
      <c r="AH47" s="2"/>
      <c r="AI47" s="2"/>
      <c r="AJ47" s="2"/>
      <c r="AK47" s="2"/>
      <c r="AL47" s="2"/>
      <c r="AM47" s="2"/>
      <c r="AP47" s="12">
        <v>1</v>
      </c>
      <c r="AQ47" s="3" t="s">
        <v>11</v>
      </c>
      <c r="AR47" s="86">
        <v>16950</v>
      </c>
      <c r="AS47" s="86">
        <v>588</v>
      </c>
      <c r="AT47" s="86">
        <v>4634</v>
      </c>
      <c r="AU47" s="86">
        <v>2652</v>
      </c>
      <c r="AV47" s="86">
        <v>2557</v>
      </c>
      <c r="AW47" s="86">
        <v>14755</v>
      </c>
      <c r="AX47" s="17">
        <v>6721</v>
      </c>
      <c r="AY47" s="86">
        <f>SUM(AR47:AX47)/7</f>
        <v>6979.5714285714284</v>
      </c>
      <c r="BB47" s="2"/>
      <c r="BV47" s="2"/>
      <c r="BW47" s="2"/>
      <c r="BX47" s="2"/>
      <c r="BY47" s="2"/>
      <c r="BZ47" s="2"/>
      <c r="CA47" s="2"/>
      <c r="CB47" s="2"/>
      <c r="CC47" s="2"/>
      <c r="CD47" s="2"/>
      <c r="CE47" s="2"/>
      <c r="CF47" s="2"/>
      <c r="CG47" s="2"/>
    </row>
    <row r="48" spans="1:85" x14ac:dyDescent="0.45">
      <c r="N48" s="2"/>
      <c r="O48" s="14" t="s">
        <v>60</v>
      </c>
      <c r="P48" s="2"/>
      <c r="Q48" s="2"/>
      <c r="R48" s="2"/>
      <c r="U48" s="2"/>
      <c r="AA48" s="2"/>
      <c r="AB48" s="73"/>
      <c r="AC48" s="73"/>
      <c r="AD48" s="2"/>
      <c r="AE48" s="2"/>
      <c r="AF48" s="2"/>
      <c r="AG48" s="2"/>
      <c r="AH48" s="2"/>
      <c r="AI48" s="2"/>
      <c r="AJ48" s="2"/>
      <c r="AK48" s="2"/>
      <c r="AL48" s="2"/>
      <c r="AM48" s="2"/>
      <c r="AP48" s="12">
        <v>2</v>
      </c>
      <c r="AQ48" s="96" t="s">
        <v>14</v>
      </c>
      <c r="AR48" s="86">
        <v>3338</v>
      </c>
      <c r="AS48" s="86">
        <v>60</v>
      </c>
      <c r="AT48" s="86">
        <v>459</v>
      </c>
      <c r="AU48" s="86">
        <v>523</v>
      </c>
      <c r="AV48" s="86">
        <v>133</v>
      </c>
      <c r="AW48" s="86">
        <v>1462</v>
      </c>
      <c r="AX48" s="17">
        <v>1872</v>
      </c>
      <c r="AY48" s="86">
        <f t="shared" ref="AY48:AY74" si="8">SUM(AR48:AX48)/7</f>
        <v>1121</v>
      </c>
      <c r="BB48" s="2"/>
      <c r="BV48" s="2"/>
      <c r="BW48" s="2"/>
      <c r="BX48" s="2"/>
      <c r="BY48" s="2"/>
      <c r="BZ48" s="2"/>
      <c r="CA48" s="2"/>
      <c r="CB48" s="2"/>
      <c r="CC48" s="2"/>
      <c r="CD48" s="2"/>
      <c r="CE48" s="2"/>
      <c r="CF48" s="2"/>
      <c r="CG48" s="2"/>
    </row>
    <row r="49" spans="1:85" x14ac:dyDescent="0.45">
      <c r="P49" s="1"/>
      <c r="Q49" s="2"/>
      <c r="R49" s="2"/>
      <c r="AP49" s="12">
        <v>3</v>
      </c>
      <c r="AQ49" s="3" t="s">
        <v>15</v>
      </c>
      <c r="AR49" s="86">
        <v>620</v>
      </c>
      <c r="AS49" s="86">
        <v>174</v>
      </c>
      <c r="AT49" s="86">
        <v>195</v>
      </c>
      <c r="AU49" s="86">
        <v>378</v>
      </c>
      <c r="AV49" s="86">
        <v>158</v>
      </c>
      <c r="AW49" s="86">
        <v>429</v>
      </c>
      <c r="AX49" s="17">
        <v>122</v>
      </c>
      <c r="AY49" s="86">
        <f t="shared" si="8"/>
        <v>296.57142857142856</v>
      </c>
      <c r="BB49" s="2"/>
      <c r="BV49" s="2"/>
      <c r="BW49" s="2"/>
      <c r="BX49" s="2"/>
      <c r="BY49" s="2"/>
      <c r="BZ49" s="2"/>
      <c r="CA49" s="2"/>
      <c r="CB49" s="2"/>
      <c r="CC49" s="2"/>
      <c r="CD49" s="2"/>
      <c r="CE49" s="2"/>
      <c r="CF49" s="2"/>
      <c r="CG49" s="2"/>
    </row>
    <row r="50" spans="1:85" ht="15" customHeight="1" x14ac:dyDescent="0.45">
      <c r="N50" s="22" t="s">
        <v>141</v>
      </c>
      <c r="O50" s="108" t="s">
        <v>19</v>
      </c>
      <c r="P50" s="155">
        <v>2013</v>
      </c>
      <c r="Q50" s="97">
        <v>2014</v>
      </c>
      <c r="R50" s="97">
        <v>2015</v>
      </c>
      <c r="S50" s="174">
        <v>2016</v>
      </c>
      <c r="T50" s="174">
        <v>2017</v>
      </c>
      <c r="U50" s="174">
        <v>2018</v>
      </c>
      <c r="V50" s="174">
        <v>2019</v>
      </c>
      <c r="W50" s="97" t="s">
        <v>61</v>
      </c>
      <c r="AA50" s="1" t="s">
        <v>157</v>
      </c>
      <c r="AP50" s="12">
        <v>4</v>
      </c>
      <c r="AQ50" s="3" t="s">
        <v>2</v>
      </c>
      <c r="AR50" s="86">
        <v>59</v>
      </c>
      <c r="AS50" s="86">
        <v>19</v>
      </c>
      <c r="AT50" s="86">
        <v>40</v>
      </c>
      <c r="AU50" s="86">
        <v>70</v>
      </c>
      <c r="AV50" s="86">
        <v>64</v>
      </c>
      <c r="AW50" s="86">
        <v>80</v>
      </c>
      <c r="AX50" s="17">
        <v>38</v>
      </c>
      <c r="AY50" s="86">
        <f t="shared" si="8"/>
        <v>52.857142857142854</v>
      </c>
      <c r="BB50" s="2"/>
      <c r="BV50" s="2"/>
      <c r="BW50" s="2"/>
      <c r="BX50" s="2"/>
      <c r="BY50" s="2"/>
      <c r="BZ50" s="2"/>
      <c r="CA50" s="2"/>
      <c r="CB50" s="2"/>
      <c r="CC50" s="2"/>
      <c r="CD50" s="2"/>
      <c r="CE50" s="2"/>
      <c r="CF50" s="2"/>
      <c r="CG50" s="2"/>
    </row>
    <row r="51" spans="1:85" ht="15" customHeight="1" x14ac:dyDescent="0.45">
      <c r="A51" s="1" t="s">
        <v>157</v>
      </c>
      <c r="B51" s="2"/>
      <c r="N51" s="12">
        <v>1</v>
      </c>
      <c r="O51" s="135" t="s">
        <v>17</v>
      </c>
      <c r="P51" s="130">
        <v>0</v>
      </c>
      <c r="Q51" s="130">
        <v>5000</v>
      </c>
      <c r="R51" s="130">
        <v>400</v>
      </c>
      <c r="S51" s="142">
        <v>0</v>
      </c>
      <c r="T51" s="86">
        <v>0</v>
      </c>
      <c r="U51" s="86">
        <v>2</v>
      </c>
      <c r="V51" s="86">
        <v>1</v>
      </c>
      <c r="W51" s="130">
        <f t="shared" ref="W51:W82" si="9">SUM(P51:V51)/7</f>
        <v>771.85714285714289</v>
      </c>
      <c r="AA51" s="1" t="s">
        <v>148</v>
      </c>
      <c r="AP51" s="12">
        <v>5</v>
      </c>
      <c r="AQ51" s="3" t="s">
        <v>12</v>
      </c>
      <c r="AR51" s="86">
        <v>209</v>
      </c>
      <c r="AS51" s="86">
        <v>5</v>
      </c>
      <c r="AT51" s="86">
        <v>0</v>
      </c>
      <c r="AU51" s="86">
        <v>2</v>
      </c>
      <c r="AV51" s="86">
        <v>4</v>
      </c>
      <c r="AW51" s="86">
        <v>41</v>
      </c>
      <c r="AX51" s="17">
        <v>4</v>
      </c>
      <c r="AY51" s="86">
        <f t="shared" si="8"/>
        <v>37.857142857142854</v>
      </c>
      <c r="BB51" s="2"/>
      <c r="BV51" s="2"/>
      <c r="BW51" s="2"/>
      <c r="BX51" s="2"/>
      <c r="BY51" s="2"/>
      <c r="BZ51" s="2"/>
      <c r="CA51" s="2"/>
      <c r="CB51" s="2"/>
      <c r="CC51" s="2"/>
      <c r="CD51" s="2"/>
      <c r="CE51" s="2"/>
      <c r="CF51" s="2"/>
      <c r="CG51" s="2"/>
    </row>
    <row r="52" spans="1:85" x14ac:dyDescent="0.45">
      <c r="A52" s="1" t="s">
        <v>138</v>
      </c>
      <c r="B52" s="2"/>
      <c r="C52" s="2"/>
      <c r="N52" s="12">
        <v>2</v>
      </c>
      <c r="O52" s="3" t="s">
        <v>11</v>
      </c>
      <c r="P52" s="86">
        <v>606</v>
      </c>
      <c r="Q52" s="86">
        <v>135</v>
      </c>
      <c r="R52" s="86">
        <v>204</v>
      </c>
      <c r="S52" s="86">
        <v>13</v>
      </c>
      <c r="T52" s="86">
        <v>219</v>
      </c>
      <c r="U52" s="86">
        <v>799</v>
      </c>
      <c r="V52" s="86">
        <v>80</v>
      </c>
      <c r="W52" s="86">
        <f t="shared" si="9"/>
        <v>293.71428571428572</v>
      </c>
      <c r="AA52" s="2"/>
      <c r="AP52" s="12">
        <v>6</v>
      </c>
      <c r="AQ52" s="3" t="s">
        <v>3</v>
      </c>
      <c r="AR52" s="86">
        <v>34</v>
      </c>
      <c r="AS52" s="86">
        <v>16</v>
      </c>
      <c r="AT52" s="86">
        <v>17</v>
      </c>
      <c r="AU52" s="86">
        <v>18</v>
      </c>
      <c r="AV52" s="86">
        <v>47</v>
      </c>
      <c r="AW52" s="86">
        <v>9</v>
      </c>
      <c r="AX52" s="17">
        <v>12</v>
      </c>
      <c r="AY52" s="86">
        <f t="shared" si="8"/>
        <v>21.857142857142858</v>
      </c>
      <c r="BB52" s="2"/>
      <c r="BV52" s="2"/>
      <c r="BW52" s="2"/>
      <c r="BX52" s="2"/>
      <c r="BY52" s="2"/>
      <c r="BZ52" s="2"/>
      <c r="CA52" s="2"/>
      <c r="CB52" s="2"/>
      <c r="CC52" s="2"/>
      <c r="CD52" s="2"/>
      <c r="CE52" s="2"/>
      <c r="CF52" s="2"/>
      <c r="CG52" s="2"/>
    </row>
    <row r="53" spans="1:85" ht="15" customHeight="1" x14ac:dyDescent="0.45">
      <c r="B53" s="2"/>
      <c r="C53" s="2"/>
      <c r="N53" s="12"/>
      <c r="O53" s="209" t="s">
        <v>18</v>
      </c>
      <c r="P53" s="208">
        <v>29</v>
      </c>
      <c r="Q53" s="208">
        <v>32</v>
      </c>
      <c r="R53" s="208">
        <v>14</v>
      </c>
      <c r="S53" s="208">
        <v>41</v>
      </c>
      <c r="T53" s="208">
        <v>1364</v>
      </c>
      <c r="U53" s="208">
        <v>0</v>
      </c>
      <c r="V53" s="86">
        <v>3</v>
      </c>
      <c r="W53" s="208">
        <f t="shared" si="9"/>
        <v>211.85714285714286</v>
      </c>
      <c r="AB53" s="1" t="s">
        <v>20</v>
      </c>
      <c r="AC53" s="2"/>
      <c r="AD53" s="2"/>
      <c r="AE53" s="1" t="s">
        <v>21</v>
      </c>
      <c r="AF53" s="2"/>
      <c r="AG53" s="2"/>
      <c r="AH53" s="2"/>
      <c r="AI53" s="2"/>
      <c r="AJ53" s="2"/>
      <c r="AK53" s="2"/>
      <c r="AL53" s="2"/>
      <c r="AM53" s="2"/>
      <c r="AP53" s="12">
        <v>7</v>
      </c>
      <c r="AQ53" s="3" t="s">
        <v>7</v>
      </c>
      <c r="AR53" s="86">
        <v>43</v>
      </c>
      <c r="AS53" s="86">
        <v>58</v>
      </c>
      <c r="AT53" s="86">
        <v>8</v>
      </c>
      <c r="AU53" s="86">
        <v>6</v>
      </c>
      <c r="AV53" s="86">
        <v>5</v>
      </c>
      <c r="AW53" s="86">
        <v>18</v>
      </c>
      <c r="AX53" s="17">
        <v>18</v>
      </c>
      <c r="AY53" s="86">
        <f t="shared" si="8"/>
        <v>22.285714285714285</v>
      </c>
      <c r="BB53" s="2"/>
      <c r="BV53" s="2"/>
      <c r="BW53" s="2"/>
      <c r="BX53" s="2"/>
      <c r="BY53" s="2"/>
      <c r="BZ53" s="2"/>
      <c r="CA53" s="2"/>
      <c r="CB53" s="2"/>
      <c r="CC53" s="2"/>
      <c r="CD53" s="2"/>
      <c r="CE53" s="2"/>
      <c r="CF53" s="2"/>
      <c r="CG53" s="2"/>
    </row>
    <row r="54" spans="1:85" x14ac:dyDescent="0.45">
      <c r="A54" s="2"/>
      <c r="B54" s="1" t="s">
        <v>20</v>
      </c>
      <c r="C54" s="2"/>
      <c r="D54" s="2"/>
      <c r="E54" s="1" t="s">
        <v>21</v>
      </c>
      <c r="F54" s="2"/>
      <c r="G54" s="2"/>
      <c r="H54" s="2"/>
      <c r="I54" s="2"/>
      <c r="J54" s="2"/>
      <c r="K54" s="2"/>
      <c r="N54" s="12">
        <v>3</v>
      </c>
      <c r="O54" s="3" t="s">
        <v>3</v>
      </c>
      <c r="P54" s="86">
        <v>44</v>
      </c>
      <c r="Q54" s="86">
        <v>39</v>
      </c>
      <c r="R54" s="86">
        <v>42</v>
      </c>
      <c r="S54" s="86">
        <v>50</v>
      </c>
      <c r="T54" s="86">
        <v>54</v>
      </c>
      <c r="U54" s="86">
        <v>64</v>
      </c>
      <c r="V54" s="86">
        <v>51</v>
      </c>
      <c r="W54" s="86">
        <f t="shared" si="9"/>
        <v>49.142857142857146</v>
      </c>
      <c r="AA54" s="108" t="s">
        <v>39</v>
      </c>
      <c r="AB54" s="157">
        <v>17</v>
      </c>
      <c r="AC54" s="158">
        <v>22</v>
      </c>
      <c r="AD54" s="158">
        <v>27</v>
      </c>
      <c r="AE54" s="158">
        <v>2</v>
      </c>
      <c r="AF54" s="158">
        <v>7</v>
      </c>
      <c r="AG54" s="158">
        <v>12</v>
      </c>
      <c r="AH54" s="158">
        <v>17</v>
      </c>
      <c r="AI54" s="158">
        <v>22</v>
      </c>
      <c r="AJ54" s="158">
        <v>27</v>
      </c>
      <c r="AK54" s="97" t="s">
        <v>144</v>
      </c>
      <c r="AP54" s="12">
        <v>8</v>
      </c>
      <c r="AQ54" s="83" t="s">
        <v>51</v>
      </c>
      <c r="AR54" s="86">
        <v>25</v>
      </c>
      <c r="AS54" s="86">
        <v>8</v>
      </c>
      <c r="AT54" s="86">
        <v>12</v>
      </c>
      <c r="AU54" s="86">
        <v>21</v>
      </c>
      <c r="AV54" s="86">
        <v>14</v>
      </c>
      <c r="AW54" s="86">
        <v>10</v>
      </c>
      <c r="AX54" s="17">
        <v>6</v>
      </c>
      <c r="AY54" s="86">
        <f t="shared" si="8"/>
        <v>13.714285714285714</v>
      </c>
      <c r="BB54" s="2"/>
      <c r="BV54" s="2"/>
      <c r="BW54" s="2"/>
      <c r="BX54" s="2"/>
      <c r="BY54" s="2"/>
      <c r="BZ54" s="2"/>
      <c r="CA54" s="2"/>
      <c r="CB54" s="2"/>
      <c r="CC54" s="2"/>
      <c r="CD54" s="2"/>
      <c r="CE54" s="2"/>
      <c r="CF54" s="2"/>
      <c r="CG54" s="2"/>
    </row>
    <row r="55" spans="1:85" ht="15.75" customHeight="1" x14ac:dyDescent="0.45">
      <c r="A55" s="26" t="s">
        <v>19</v>
      </c>
      <c r="B55" s="5">
        <v>17</v>
      </c>
      <c r="C55" s="5">
        <v>22</v>
      </c>
      <c r="D55" s="5">
        <v>27</v>
      </c>
      <c r="E55" s="5">
        <v>2</v>
      </c>
      <c r="F55" s="5">
        <v>7</v>
      </c>
      <c r="G55" s="5">
        <v>12</v>
      </c>
      <c r="H55" s="5">
        <v>17</v>
      </c>
      <c r="I55" s="5">
        <v>22</v>
      </c>
      <c r="J55" s="5">
        <v>27</v>
      </c>
      <c r="K55" s="7" t="s">
        <v>24</v>
      </c>
      <c r="N55" s="12">
        <v>4</v>
      </c>
      <c r="O55" s="96" t="s">
        <v>14</v>
      </c>
      <c r="P55" s="86">
        <v>67</v>
      </c>
      <c r="Q55" s="86">
        <v>27</v>
      </c>
      <c r="R55" s="86">
        <v>24</v>
      </c>
      <c r="S55" s="86">
        <v>9</v>
      </c>
      <c r="T55" s="86">
        <v>47</v>
      </c>
      <c r="U55" s="86">
        <v>69</v>
      </c>
      <c r="V55" s="86">
        <v>41</v>
      </c>
      <c r="W55" s="86">
        <f t="shared" si="9"/>
        <v>40.571428571428569</v>
      </c>
      <c r="AA55" s="129" t="s">
        <v>1</v>
      </c>
      <c r="AB55" s="86"/>
      <c r="AC55" s="86"/>
      <c r="AD55" s="86"/>
      <c r="AE55" s="86"/>
      <c r="AF55" s="86">
        <v>1</v>
      </c>
      <c r="AG55" s="86">
        <v>1</v>
      </c>
      <c r="AH55" s="86"/>
      <c r="AI55" s="86">
        <v>1</v>
      </c>
      <c r="AJ55" s="86"/>
      <c r="AK55" s="86">
        <f>SUM(AB55:AJ55)</f>
        <v>3</v>
      </c>
      <c r="AP55" s="12">
        <v>9</v>
      </c>
      <c r="AQ55" s="3" t="s">
        <v>1</v>
      </c>
      <c r="AR55" s="86">
        <v>6</v>
      </c>
      <c r="AS55" s="86">
        <v>3</v>
      </c>
      <c r="AT55" s="86">
        <v>10</v>
      </c>
      <c r="AU55" s="86">
        <v>5</v>
      </c>
      <c r="AV55" s="86">
        <v>5</v>
      </c>
      <c r="AW55" s="86">
        <v>32</v>
      </c>
      <c r="AX55" s="17">
        <v>7</v>
      </c>
      <c r="AY55" s="86">
        <f t="shared" si="8"/>
        <v>9.7142857142857135</v>
      </c>
      <c r="BB55" s="2"/>
      <c r="BV55" s="2"/>
      <c r="BW55" s="2"/>
      <c r="BX55" s="2"/>
      <c r="BY55" s="2"/>
      <c r="BZ55" s="2"/>
      <c r="CA55" s="2"/>
      <c r="CB55" s="2"/>
      <c r="CC55" s="2"/>
      <c r="CD55" s="2"/>
      <c r="CE55" s="2"/>
      <c r="CF55" s="2"/>
      <c r="CG55" s="2"/>
    </row>
    <row r="56" spans="1:85" ht="15.75" customHeight="1" x14ac:dyDescent="0.45">
      <c r="A56" s="3" t="s">
        <v>1</v>
      </c>
      <c r="B56" s="77">
        <v>0</v>
      </c>
      <c r="C56" s="77">
        <v>0</v>
      </c>
      <c r="D56" s="77">
        <v>0</v>
      </c>
      <c r="E56" s="77">
        <v>1</v>
      </c>
      <c r="F56" s="77">
        <v>0</v>
      </c>
      <c r="G56" s="77">
        <v>5</v>
      </c>
      <c r="H56" s="77">
        <v>3</v>
      </c>
      <c r="I56" s="77">
        <v>0</v>
      </c>
      <c r="J56" s="77">
        <v>4</v>
      </c>
      <c r="K56" s="77">
        <f t="shared" ref="K56:K90" si="10">SUM(B56:J56)</f>
        <v>13</v>
      </c>
      <c r="N56" s="12">
        <v>5</v>
      </c>
      <c r="O56" s="3" t="s">
        <v>2</v>
      </c>
      <c r="P56" s="86">
        <v>40</v>
      </c>
      <c r="Q56" s="86">
        <v>48</v>
      </c>
      <c r="R56" s="86">
        <v>40</v>
      </c>
      <c r="S56" s="86">
        <v>16</v>
      </c>
      <c r="T56" s="86">
        <v>19</v>
      </c>
      <c r="U56" s="86">
        <v>16</v>
      </c>
      <c r="V56" s="86">
        <v>10</v>
      </c>
      <c r="W56" s="86">
        <f t="shared" si="9"/>
        <v>27</v>
      </c>
      <c r="AA56" s="90" t="s">
        <v>145</v>
      </c>
      <c r="AB56" s="86"/>
      <c r="AC56" s="86"/>
      <c r="AD56" s="86"/>
      <c r="AE56" s="86"/>
      <c r="AF56" s="86"/>
      <c r="AG56" s="86"/>
      <c r="AH56" s="86"/>
      <c r="AI56" s="86"/>
      <c r="AJ56" s="86"/>
      <c r="AK56" s="86">
        <f t="shared" ref="AK56:AK87" si="11">SUM(AB56:AJ56)</f>
        <v>0</v>
      </c>
      <c r="AP56" s="12">
        <v>10</v>
      </c>
      <c r="AQ56" s="3" t="s">
        <v>4</v>
      </c>
      <c r="AR56" s="86">
        <v>8</v>
      </c>
      <c r="AS56" s="86">
        <v>16</v>
      </c>
      <c r="AT56" s="86">
        <v>6</v>
      </c>
      <c r="AU56" s="86">
        <v>13</v>
      </c>
      <c r="AV56" s="86">
        <v>16</v>
      </c>
      <c r="AW56" s="86">
        <v>2</v>
      </c>
      <c r="AX56" s="17">
        <v>6</v>
      </c>
      <c r="AY56" s="86">
        <f t="shared" si="8"/>
        <v>9.5714285714285712</v>
      </c>
      <c r="BB56" s="2"/>
      <c r="BV56" s="2"/>
      <c r="BW56" s="2"/>
      <c r="BX56" s="2"/>
      <c r="BY56" s="2"/>
      <c r="BZ56" s="2"/>
      <c r="CA56" s="2"/>
      <c r="CB56" s="2"/>
      <c r="CC56" s="2"/>
      <c r="CD56" s="2"/>
      <c r="CE56" s="2"/>
      <c r="CF56" s="2"/>
      <c r="CG56" s="2"/>
    </row>
    <row r="57" spans="1:85" ht="15.75" customHeight="1" x14ac:dyDescent="0.45">
      <c r="A57" s="83" t="s">
        <v>49</v>
      </c>
      <c r="B57" s="77">
        <v>0</v>
      </c>
      <c r="C57" s="77">
        <v>0</v>
      </c>
      <c r="D57" s="77">
        <v>0</v>
      </c>
      <c r="E57" s="77">
        <v>0</v>
      </c>
      <c r="F57" s="77">
        <v>0</v>
      </c>
      <c r="G57" s="77">
        <v>0</v>
      </c>
      <c r="H57" s="77">
        <v>0</v>
      </c>
      <c r="I57" s="77">
        <v>0</v>
      </c>
      <c r="J57" s="77">
        <v>0</v>
      </c>
      <c r="K57" s="77">
        <f t="shared" si="10"/>
        <v>0</v>
      </c>
      <c r="N57" s="12">
        <v>6</v>
      </c>
      <c r="O57" s="3" t="s">
        <v>7</v>
      </c>
      <c r="P57" s="86">
        <v>75</v>
      </c>
      <c r="Q57" s="86">
        <v>29</v>
      </c>
      <c r="R57" s="86">
        <v>2</v>
      </c>
      <c r="S57" s="86">
        <v>8</v>
      </c>
      <c r="T57" s="86">
        <v>9</v>
      </c>
      <c r="U57" s="86">
        <v>20</v>
      </c>
      <c r="V57" s="86">
        <v>27</v>
      </c>
      <c r="W57" s="86">
        <f t="shared" si="9"/>
        <v>24.285714285714285</v>
      </c>
      <c r="AA57" s="90" t="s">
        <v>92</v>
      </c>
      <c r="AB57" s="86"/>
      <c r="AC57" s="86"/>
      <c r="AD57" s="86"/>
      <c r="AE57" s="86"/>
      <c r="AF57" s="86"/>
      <c r="AG57" s="86"/>
      <c r="AH57" s="86"/>
      <c r="AI57" s="86"/>
      <c r="AJ57" s="86"/>
      <c r="AK57" s="86">
        <f t="shared" si="11"/>
        <v>0</v>
      </c>
      <c r="AP57" s="12">
        <v>11</v>
      </c>
      <c r="AQ57" s="96" t="s">
        <v>13</v>
      </c>
      <c r="AR57" s="86">
        <v>7</v>
      </c>
      <c r="AS57" s="86">
        <v>2</v>
      </c>
      <c r="AT57" s="86">
        <v>2</v>
      </c>
      <c r="AU57" s="86">
        <v>1</v>
      </c>
      <c r="AV57" s="86">
        <v>0</v>
      </c>
      <c r="AW57" s="86">
        <v>20</v>
      </c>
      <c r="AX57" s="17">
        <v>26</v>
      </c>
      <c r="AY57" s="86">
        <f>SUM(AR57:AX57)/7</f>
        <v>8.2857142857142865</v>
      </c>
      <c r="BB57" s="2"/>
      <c r="BV57" s="2"/>
      <c r="BW57" s="2"/>
      <c r="BX57" s="2"/>
      <c r="BY57" s="2"/>
      <c r="BZ57" s="2"/>
      <c r="CA57" s="2"/>
      <c r="CB57" s="2"/>
      <c r="CC57" s="2"/>
      <c r="CD57" s="2"/>
      <c r="CE57" s="2"/>
      <c r="CF57" s="2"/>
      <c r="CG57" s="2"/>
    </row>
    <row r="58" spans="1:85" x14ac:dyDescent="0.45">
      <c r="A58" s="83" t="s">
        <v>45</v>
      </c>
      <c r="B58" s="77">
        <v>0</v>
      </c>
      <c r="C58" s="77">
        <v>0</v>
      </c>
      <c r="D58" s="77">
        <v>0</v>
      </c>
      <c r="E58" s="77">
        <v>0</v>
      </c>
      <c r="F58" s="77">
        <v>0</v>
      </c>
      <c r="G58" s="77">
        <v>0</v>
      </c>
      <c r="H58" s="77">
        <v>0</v>
      </c>
      <c r="I58" s="77">
        <v>0</v>
      </c>
      <c r="J58" s="77">
        <v>0</v>
      </c>
      <c r="K58" s="77">
        <f t="shared" si="10"/>
        <v>0</v>
      </c>
      <c r="N58" s="12">
        <v>7</v>
      </c>
      <c r="O58" s="3" t="s">
        <v>1</v>
      </c>
      <c r="P58" s="86">
        <v>14</v>
      </c>
      <c r="Q58" s="86">
        <v>13</v>
      </c>
      <c r="R58" s="86">
        <v>17</v>
      </c>
      <c r="S58" s="86">
        <v>10</v>
      </c>
      <c r="T58" s="86">
        <v>28</v>
      </c>
      <c r="U58" s="86">
        <v>50</v>
      </c>
      <c r="V58" s="86">
        <v>7</v>
      </c>
      <c r="W58" s="86">
        <f t="shared" si="9"/>
        <v>19.857142857142858</v>
      </c>
      <c r="AA58" s="90" t="s">
        <v>41</v>
      </c>
      <c r="AB58" s="86"/>
      <c r="AC58" s="86"/>
      <c r="AD58" s="86"/>
      <c r="AE58" s="86"/>
      <c r="AF58" s="86"/>
      <c r="AG58" s="86">
        <v>1</v>
      </c>
      <c r="AH58" s="86"/>
      <c r="AI58" s="86"/>
      <c r="AJ58" s="86">
        <v>1</v>
      </c>
      <c r="AK58" s="86">
        <f t="shared" si="11"/>
        <v>2</v>
      </c>
      <c r="AP58" s="12">
        <v>12</v>
      </c>
      <c r="AQ58" s="83" t="s">
        <v>54</v>
      </c>
      <c r="AR58" s="86">
        <v>42</v>
      </c>
      <c r="AS58" s="86">
        <v>0</v>
      </c>
      <c r="AT58" s="86">
        <v>0</v>
      </c>
      <c r="AU58" s="86">
        <v>0</v>
      </c>
      <c r="AV58" s="86">
        <v>0</v>
      </c>
      <c r="AW58" s="86">
        <v>4</v>
      </c>
      <c r="AX58" s="86"/>
      <c r="AY58" s="86">
        <f>SUM(AR58:AX58)/7</f>
        <v>6.5714285714285712</v>
      </c>
      <c r="BV58" s="2"/>
      <c r="BW58" s="2"/>
      <c r="BX58" s="2"/>
      <c r="BY58" s="2"/>
      <c r="BZ58" s="2"/>
      <c r="CA58" s="2"/>
      <c r="CB58" s="2"/>
      <c r="CC58" s="2"/>
      <c r="CD58" s="2"/>
      <c r="CE58" s="2"/>
      <c r="CF58" s="2"/>
      <c r="CG58" s="2"/>
    </row>
    <row r="59" spans="1:85" x14ac:dyDescent="0.45">
      <c r="A59" s="83" t="s">
        <v>41</v>
      </c>
      <c r="B59" s="77">
        <v>0</v>
      </c>
      <c r="C59" s="77">
        <v>0</v>
      </c>
      <c r="D59" s="77">
        <v>0</v>
      </c>
      <c r="E59" s="77">
        <v>1</v>
      </c>
      <c r="F59" s="77">
        <v>0</v>
      </c>
      <c r="G59" s="77">
        <v>0</v>
      </c>
      <c r="H59" s="77">
        <v>0</v>
      </c>
      <c r="I59" s="77">
        <v>0</v>
      </c>
      <c r="J59" s="77">
        <v>0</v>
      </c>
      <c r="K59" s="77">
        <f t="shared" si="10"/>
        <v>1</v>
      </c>
      <c r="N59" s="12">
        <v>8</v>
      </c>
      <c r="O59" s="3" t="s">
        <v>12</v>
      </c>
      <c r="P59" s="86">
        <v>10</v>
      </c>
      <c r="Q59" s="86">
        <v>28</v>
      </c>
      <c r="R59" s="86">
        <v>24</v>
      </c>
      <c r="S59" s="86">
        <v>17</v>
      </c>
      <c r="T59" s="86">
        <v>12</v>
      </c>
      <c r="U59" s="86">
        <v>19</v>
      </c>
      <c r="V59" s="208">
        <v>3</v>
      </c>
      <c r="W59" s="86">
        <f t="shared" si="9"/>
        <v>16.142857142857142</v>
      </c>
      <c r="AA59" s="90" t="s">
        <v>2</v>
      </c>
      <c r="AB59" s="86"/>
      <c r="AC59" s="86"/>
      <c r="AD59" s="86">
        <v>4</v>
      </c>
      <c r="AE59" s="86">
        <v>3</v>
      </c>
      <c r="AF59" s="86">
        <v>9</v>
      </c>
      <c r="AG59" s="86">
        <v>2</v>
      </c>
      <c r="AH59" s="86"/>
      <c r="AI59" s="86"/>
      <c r="AJ59" s="86">
        <v>1</v>
      </c>
      <c r="AK59" s="86">
        <f t="shared" si="11"/>
        <v>19</v>
      </c>
      <c r="AP59" s="12">
        <v>13</v>
      </c>
      <c r="AQ59" s="161" t="s">
        <v>32</v>
      </c>
      <c r="AR59" s="86">
        <v>8</v>
      </c>
      <c r="AS59" s="86">
        <v>0</v>
      </c>
      <c r="AT59" s="86">
        <v>1</v>
      </c>
      <c r="AU59" s="86">
        <v>14</v>
      </c>
      <c r="AV59" s="86">
        <v>2</v>
      </c>
      <c r="AW59" s="86">
        <v>4</v>
      </c>
      <c r="AX59" s="17">
        <v>21</v>
      </c>
      <c r="AY59" s="86">
        <f t="shared" si="8"/>
        <v>7.1428571428571432</v>
      </c>
      <c r="BB59" s="2"/>
      <c r="BV59" s="2"/>
      <c r="BW59" s="2"/>
      <c r="BX59" s="2"/>
      <c r="BY59" s="2"/>
      <c r="BZ59" s="2"/>
      <c r="CA59" s="2"/>
      <c r="CB59" s="2"/>
      <c r="CC59" s="2"/>
      <c r="CD59" s="2"/>
      <c r="CE59" s="2"/>
      <c r="CF59" s="2"/>
      <c r="CG59" s="2"/>
    </row>
    <row r="60" spans="1:85" x14ac:dyDescent="0.45">
      <c r="A60" s="3" t="s">
        <v>2</v>
      </c>
      <c r="B60" s="77">
        <v>0</v>
      </c>
      <c r="C60" s="77">
        <v>1</v>
      </c>
      <c r="D60" s="77">
        <v>12</v>
      </c>
      <c r="E60" s="77">
        <v>20</v>
      </c>
      <c r="F60" s="19">
        <v>2</v>
      </c>
      <c r="G60" s="19">
        <v>13</v>
      </c>
      <c r="H60" s="77">
        <v>0</v>
      </c>
      <c r="I60" s="77">
        <v>0</v>
      </c>
      <c r="J60" s="77">
        <v>0</v>
      </c>
      <c r="K60" s="77">
        <f t="shared" si="10"/>
        <v>48</v>
      </c>
      <c r="N60" s="12">
        <v>9</v>
      </c>
      <c r="O60" s="83" t="s">
        <v>41</v>
      </c>
      <c r="P60" s="86">
        <v>10</v>
      </c>
      <c r="Q60" s="86">
        <v>1</v>
      </c>
      <c r="R60" s="86">
        <v>8</v>
      </c>
      <c r="S60" s="86">
        <v>7</v>
      </c>
      <c r="T60" s="86">
        <v>16</v>
      </c>
      <c r="U60" s="86">
        <v>32</v>
      </c>
      <c r="V60" s="86">
        <v>21</v>
      </c>
      <c r="W60" s="86">
        <f t="shared" si="9"/>
        <v>13.571428571428571</v>
      </c>
      <c r="AA60" s="90" t="s">
        <v>43</v>
      </c>
      <c r="AB60" s="86"/>
      <c r="AC60" s="86"/>
      <c r="AD60" s="86"/>
      <c r="AE60" s="86"/>
      <c r="AF60" s="86"/>
      <c r="AG60" s="86"/>
      <c r="AH60" s="86"/>
      <c r="AI60" s="86"/>
      <c r="AJ60" s="86"/>
      <c r="AK60" s="86">
        <f t="shared" si="11"/>
        <v>0</v>
      </c>
      <c r="AP60" s="12">
        <v>14</v>
      </c>
      <c r="AQ60" s="3" t="s">
        <v>16</v>
      </c>
      <c r="AR60" s="86">
        <v>3</v>
      </c>
      <c r="AS60" s="86">
        <v>3</v>
      </c>
      <c r="AT60" s="86">
        <v>4</v>
      </c>
      <c r="AU60" s="86">
        <v>5</v>
      </c>
      <c r="AV60" s="86">
        <v>4</v>
      </c>
      <c r="AW60" s="86">
        <v>4</v>
      </c>
      <c r="AX60" s="17">
        <v>7</v>
      </c>
      <c r="AY60" s="86">
        <f t="shared" si="8"/>
        <v>4.2857142857142856</v>
      </c>
      <c r="BB60" s="2"/>
      <c r="BV60" s="2"/>
      <c r="BW60" s="2"/>
      <c r="BX60" s="2"/>
      <c r="BY60" s="2"/>
      <c r="BZ60" s="2"/>
      <c r="CA60" s="2"/>
      <c r="CB60" s="2"/>
      <c r="CC60" s="2"/>
      <c r="CD60" s="2"/>
      <c r="CE60" s="2"/>
      <c r="CF60" s="2"/>
      <c r="CG60" s="2"/>
    </row>
    <row r="61" spans="1:85" x14ac:dyDescent="0.45">
      <c r="A61" s="83" t="s">
        <v>43</v>
      </c>
      <c r="B61" s="77">
        <v>0</v>
      </c>
      <c r="C61" s="77">
        <v>0</v>
      </c>
      <c r="D61" s="77">
        <v>0</v>
      </c>
      <c r="E61" s="77">
        <v>0</v>
      </c>
      <c r="F61" s="77">
        <v>0</v>
      </c>
      <c r="G61" s="77">
        <v>0</v>
      </c>
      <c r="H61" s="77">
        <v>0</v>
      </c>
      <c r="I61" s="77">
        <v>0</v>
      </c>
      <c r="J61" s="77">
        <v>0</v>
      </c>
      <c r="K61" s="77">
        <f t="shared" si="10"/>
        <v>0</v>
      </c>
      <c r="N61" s="12">
        <v>10</v>
      </c>
      <c r="O61" s="3" t="s">
        <v>15</v>
      </c>
      <c r="P61" s="86">
        <v>15</v>
      </c>
      <c r="Q61" s="86">
        <v>27</v>
      </c>
      <c r="R61" s="86">
        <v>5</v>
      </c>
      <c r="S61" s="86">
        <v>4</v>
      </c>
      <c r="T61" s="142">
        <v>14</v>
      </c>
      <c r="U61" s="86">
        <v>4</v>
      </c>
      <c r="V61" s="86">
        <v>11</v>
      </c>
      <c r="W61" s="86">
        <f>SUM(P61:V61)/7</f>
        <v>11.428571428571429</v>
      </c>
      <c r="AA61" s="90" t="s">
        <v>3</v>
      </c>
      <c r="AB61" s="86"/>
      <c r="AC61" s="86"/>
      <c r="AD61" s="86"/>
      <c r="AE61" s="86">
        <v>1</v>
      </c>
      <c r="AF61" s="86">
        <v>2</v>
      </c>
      <c r="AG61" s="86">
        <v>4</v>
      </c>
      <c r="AH61" s="86">
        <v>2</v>
      </c>
      <c r="AI61" s="86">
        <v>5</v>
      </c>
      <c r="AJ61" s="86">
        <v>2</v>
      </c>
      <c r="AK61" s="86">
        <f t="shared" si="11"/>
        <v>16</v>
      </c>
      <c r="AP61" s="12">
        <v>15</v>
      </c>
      <c r="AQ61" s="83" t="s">
        <v>41</v>
      </c>
      <c r="AR61" s="86">
        <v>1</v>
      </c>
      <c r="AS61" s="86">
        <v>2</v>
      </c>
      <c r="AT61" s="86">
        <v>7</v>
      </c>
      <c r="AU61" s="86">
        <v>8</v>
      </c>
      <c r="AV61" s="86">
        <v>1</v>
      </c>
      <c r="AW61" s="86">
        <v>1</v>
      </c>
      <c r="AX61" s="17">
        <v>8</v>
      </c>
      <c r="AY61" s="86">
        <f t="shared" si="8"/>
        <v>4</v>
      </c>
      <c r="BB61" s="2"/>
      <c r="BV61" s="2"/>
      <c r="BW61" s="2"/>
      <c r="BX61" s="2"/>
      <c r="BY61" s="2"/>
      <c r="BZ61" s="2"/>
      <c r="CA61" s="2"/>
      <c r="CB61" s="2"/>
      <c r="CC61" s="2"/>
      <c r="CD61" s="2"/>
      <c r="CE61" s="2"/>
      <c r="CF61" s="2"/>
      <c r="CG61" s="2"/>
    </row>
    <row r="62" spans="1:85" x14ac:dyDescent="0.45">
      <c r="A62" s="3" t="s">
        <v>3</v>
      </c>
      <c r="B62" s="77">
        <v>8</v>
      </c>
      <c r="C62" s="77">
        <v>5</v>
      </c>
      <c r="D62" s="77">
        <v>4</v>
      </c>
      <c r="E62" s="77">
        <v>3</v>
      </c>
      <c r="F62" s="77">
        <v>3</v>
      </c>
      <c r="G62" s="77">
        <v>1</v>
      </c>
      <c r="H62" s="77">
        <v>9</v>
      </c>
      <c r="I62" s="77">
        <v>1</v>
      </c>
      <c r="J62" s="77">
        <v>5</v>
      </c>
      <c r="K62" s="77">
        <f t="shared" si="10"/>
        <v>39</v>
      </c>
      <c r="N62" s="12">
        <v>11</v>
      </c>
      <c r="O62" s="3" t="s">
        <v>10</v>
      </c>
      <c r="P62" s="86">
        <v>3</v>
      </c>
      <c r="Q62" s="86">
        <v>20</v>
      </c>
      <c r="R62" s="86">
        <v>0</v>
      </c>
      <c r="S62" s="86">
        <v>18</v>
      </c>
      <c r="T62" s="86">
        <v>5</v>
      </c>
      <c r="U62" s="86">
        <v>24</v>
      </c>
      <c r="V62" s="86">
        <v>0</v>
      </c>
      <c r="W62" s="86">
        <f>SUM(P62:V62)/7</f>
        <v>10</v>
      </c>
      <c r="AA62" s="90" t="s">
        <v>4</v>
      </c>
      <c r="AB62" s="86"/>
      <c r="AC62" s="86"/>
      <c r="AD62" s="86"/>
      <c r="AE62" s="86"/>
      <c r="AF62" s="86">
        <v>3</v>
      </c>
      <c r="AG62" s="86">
        <v>3</v>
      </c>
      <c r="AH62" s="86"/>
      <c r="AI62" s="86">
        <v>2</v>
      </c>
      <c r="AJ62" s="86">
        <v>8</v>
      </c>
      <c r="AK62" s="86">
        <f t="shared" si="11"/>
        <v>16</v>
      </c>
      <c r="AP62" s="12">
        <v>16</v>
      </c>
      <c r="AQ62" s="87" t="s">
        <v>40</v>
      </c>
      <c r="AR62" s="86">
        <v>0</v>
      </c>
      <c r="AS62" s="86">
        <v>0</v>
      </c>
      <c r="AT62" s="86">
        <v>0</v>
      </c>
      <c r="AU62" s="86">
        <v>0</v>
      </c>
      <c r="AV62" s="86">
        <v>2</v>
      </c>
      <c r="AW62" s="86">
        <v>9</v>
      </c>
      <c r="AX62" s="86"/>
      <c r="AY62" s="86">
        <f t="shared" si="8"/>
        <v>1.5714285714285714</v>
      </c>
      <c r="BV62" s="2"/>
      <c r="BW62" s="2"/>
      <c r="BX62" s="2"/>
      <c r="BY62" s="2"/>
      <c r="BZ62" s="2"/>
      <c r="CA62" s="2"/>
      <c r="CB62" s="2"/>
      <c r="CC62" s="2"/>
      <c r="CD62" s="2"/>
      <c r="CE62" s="2"/>
      <c r="CF62" s="2"/>
      <c r="CG62" s="2"/>
    </row>
    <row r="63" spans="1:85" x14ac:dyDescent="0.45">
      <c r="A63" s="3" t="s">
        <v>4</v>
      </c>
      <c r="B63" s="77">
        <v>0</v>
      </c>
      <c r="C63" s="77">
        <v>0</v>
      </c>
      <c r="D63" s="77">
        <v>2</v>
      </c>
      <c r="E63" s="77">
        <v>4</v>
      </c>
      <c r="F63" s="77">
        <v>4</v>
      </c>
      <c r="G63" s="77">
        <v>4</v>
      </c>
      <c r="H63" s="77">
        <v>5</v>
      </c>
      <c r="I63" s="77"/>
      <c r="J63" s="77">
        <v>1</v>
      </c>
      <c r="K63" s="77">
        <f t="shared" si="10"/>
        <v>20</v>
      </c>
      <c r="N63" s="12"/>
      <c r="O63" s="84" t="s">
        <v>47</v>
      </c>
      <c r="P63" s="208">
        <v>19</v>
      </c>
      <c r="Q63" s="208">
        <v>8</v>
      </c>
      <c r="R63" s="208">
        <v>15</v>
      </c>
      <c r="S63" s="208">
        <v>4</v>
      </c>
      <c r="T63" s="142">
        <v>3</v>
      </c>
      <c r="U63" s="208">
        <v>4</v>
      </c>
      <c r="V63" s="130">
        <v>8</v>
      </c>
      <c r="W63" s="208">
        <f>SUM(P63:V63)/7</f>
        <v>8.7142857142857135</v>
      </c>
      <c r="AA63" s="90" t="s">
        <v>48</v>
      </c>
      <c r="AB63" s="86"/>
      <c r="AC63" s="86"/>
      <c r="AD63" s="86"/>
      <c r="AE63" s="86"/>
      <c r="AF63" s="86"/>
      <c r="AG63" s="86"/>
      <c r="AH63" s="86"/>
      <c r="AI63" s="86"/>
      <c r="AJ63" s="86"/>
      <c r="AK63" s="86">
        <f t="shared" si="11"/>
        <v>0</v>
      </c>
      <c r="AP63" s="12">
        <v>17</v>
      </c>
      <c r="AQ63" s="83" t="s">
        <v>42</v>
      </c>
      <c r="AR63" s="86">
        <v>0</v>
      </c>
      <c r="AS63" s="86">
        <v>2</v>
      </c>
      <c r="AT63" s="86">
        <v>0</v>
      </c>
      <c r="AU63" s="86">
        <v>1</v>
      </c>
      <c r="AV63" s="86">
        <v>0</v>
      </c>
      <c r="AW63" s="86">
        <v>6</v>
      </c>
      <c r="AX63" s="17">
        <v>4</v>
      </c>
      <c r="AY63" s="86">
        <f t="shared" si="8"/>
        <v>1.8571428571428572</v>
      </c>
    </row>
    <row r="64" spans="1:85" x14ac:dyDescent="0.45">
      <c r="A64" s="83" t="s">
        <v>48</v>
      </c>
      <c r="B64" s="77">
        <v>0</v>
      </c>
      <c r="C64" s="77">
        <v>0</v>
      </c>
      <c r="D64" s="77">
        <v>0</v>
      </c>
      <c r="E64" s="77">
        <v>0</v>
      </c>
      <c r="F64" s="77">
        <v>0</v>
      </c>
      <c r="G64" s="77">
        <v>0</v>
      </c>
      <c r="H64" s="77">
        <v>0</v>
      </c>
      <c r="I64" s="77">
        <v>0</v>
      </c>
      <c r="J64" s="77">
        <v>0</v>
      </c>
      <c r="K64" s="77">
        <f t="shared" si="10"/>
        <v>0</v>
      </c>
      <c r="N64" s="12">
        <v>12</v>
      </c>
      <c r="O64" s="3" t="s">
        <v>4</v>
      </c>
      <c r="P64" s="86">
        <v>20</v>
      </c>
      <c r="Q64" s="86">
        <v>20</v>
      </c>
      <c r="R64" s="86">
        <v>2</v>
      </c>
      <c r="S64" s="86">
        <v>1</v>
      </c>
      <c r="T64" s="86">
        <v>7</v>
      </c>
      <c r="U64" s="86">
        <v>5</v>
      </c>
      <c r="V64" s="86">
        <v>0</v>
      </c>
      <c r="W64" s="86">
        <f>SUM(P64:V64)/7</f>
        <v>7.8571428571428568</v>
      </c>
      <c r="AA64" s="90" t="s">
        <v>6</v>
      </c>
      <c r="AB64" s="86"/>
      <c r="AC64" s="86"/>
      <c r="AD64" s="86"/>
      <c r="AE64" s="86"/>
      <c r="AF64" s="86"/>
      <c r="AG64" s="86"/>
      <c r="AH64" s="86"/>
      <c r="AI64" s="86"/>
      <c r="AJ64" s="86"/>
      <c r="AK64" s="86">
        <f t="shared" si="11"/>
        <v>0</v>
      </c>
      <c r="AP64" s="12">
        <v>18</v>
      </c>
      <c r="AQ64" s="83" t="s">
        <v>53</v>
      </c>
      <c r="AR64" s="86">
        <v>0</v>
      </c>
      <c r="AS64" s="86">
        <v>0</v>
      </c>
      <c r="AT64" s="86">
        <v>2</v>
      </c>
      <c r="AU64" s="86">
        <v>5</v>
      </c>
      <c r="AV64" s="86">
        <v>0</v>
      </c>
      <c r="AW64" s="86">
        <v>0</v>
      </c>
      <c r="AX64" s="17">
        <v>1</v>
      </c>
      <c r="AY64" s="86">
        <f t="shared" si="8"/>
        <v>1.1428571428571428</v>
      </c>
    </row>
    <row r="65" spans="1:52" x14ac:dyDescent="0.45">
      <c r="A65" s="3" t="s">
        <v>6</v>
      </c>
      <c r="B65" s="77">
        <v>0</v>
      </c>
      <c r="C65" s="77">
        <v>0</v>
      </c>
      <c r="D65" s="77">
        <v>0</v>
      </c>
      <c r="E65" s="77">
        <v>0</v>
      </c>
      <c r="F65" s="77">
        <v>0</v>
      </c>
      <c r="G65" s="77">
        <v>0</v>
      </c>
      <c r="H65" s="77">
        <v>0</v>
      </c>
      <c r="I65" s="77">
        <v>0</v>
      </c>
      <c r="J65" s="77">
        <v>0</v>
      </c>
      <c r="K65" s="77">
        <f t="shared" si="10"/>
        <v>0</v>
      </c>
      <c r="N65" s="12"/>
      <c r="O65" s="84" t="s">
        <v>48</v>
      </c>
      <c r="P65" s="208">
        <v>45</v>
      </c>
      <c r="Q65" s="208">
        <v>0</v>
      </c>
      <c r="R65" s="208">
        <v>0</v>
      </c>
      <c r="S65" s="208">
        <v>1</v>
      </c>
      <c r="T65" s="208">
        <v>0</v>
      </c>
      <c r="U65" s="208">
        <v>0</v>
      </c>
      <c r="V65" s="208">
        <v>0</v>
      </c>
      <c r="W65" s="208">
        <f t="shared" si="9"/>
        <v>6.5714285714285712</v>
      </c>
      <c r="AA65" s="90" t="s">
        <v>7</v>
      </c>
      <c r="AB65" s="86"/>
      <c r="AC65" s="86"/>
      <c r="AD65" s="86"/>
      <c r="AE65" s="86"/>
      <c r="AF65" s="86">
        <v>55</v>
      </c>
      <c r="AG65" s="86">
        <v>3</v>
      </c>
      <c r="AH65" s="86"/>
      <c r="AI65" s="86"/>
      <c r="AJ65" s="86"/>
      <c r="AK65" s="86">
        <f t="shared" si="11"/>
        <v>58</v>
      </c>
      <c r="AP65" s="12">
        <v>19</v>
      </c>
      <c r="AQ65" s="83" t="s">
        <v>45</v>
      </c>
      <c r="AR65" s="86">
        <v>5</v>
      </c>
      <c r="AS65" s="86">
        <v>0</v>
      </c>
      <c r="AT65" s="86">
        <v>0</v>
      </c>
      <c r="AU65" s="86">
        <v>0</v>
      </c>
      <c r="AV65" s="86">
        <v>0</v>
      </c>
      <c r="AW65" s="142">
        <v>0</v>
      </c>
      <c r="AX65" s="142"/>
      <c r="AY65" s="213">
        <f t="shared" si="8"/>
        <v>0.7142857142857143</v>
      </c>
    </row>
    <row r="66" spans="1:52" x14ac:dyDescent="0.45">
      <c r="A66" s="3" t="s">
        <v>7</v>
      </c>
      <c r="B66" s="77">
        <v>0</v>
      </c>
      <c r="C66" s="77">
        <v>0</v>
      </c>
      <c r="D66" s="77">
        <v>0</v>
      </c>
      <c r="E66" s="77">
        <v>0</v>
      </c>
      <c r="F66" s="77">
        <v>12</v>
      </c>
      <c r="G66" s="77">
        <v>11</v>
      </c>
      <c r="H66" s="77">
        <v>6</v>
      </c>
      <c r="I66" s="77">
        <v>0</v>
      </c>
      <c r="J66" s="77">
        <v>0</v>
      </c>
      <c r="K66" s="77">
        <f t="shared" si="10"/>
        <v>29</v>
      </c>
      <c r="N66" s="12">
        <v>13</v>
      </c>
      <c r="O66" s="83" t="s">
        <v>40</v>
      </c>
      <c r="P66" s="86">
        <v>16</v>
      </c>
      <c r="Q66" s="86">
        <v>22</v>
      </c>
      <c r="R66" s="86">
        <v>1</v>
      </c>
      <c r="S66" s="142">
        <v>0</v>
      </c>
      <c r="T66" s="142">
        <v>0</v>
      </c>
      <c r="U66" s="86">
        <v>2</v>
      </c>
      <c r="V66" s="86">
        <v>0</v>
      </c>
      <c r="W66" s="86">
        <f t="shared" si="9"/>
        <v>5.8571428571428568</v>
      </c>
      <c r="AA66" s="90" t="s">
        <v>50</v>
      </c>
      <c r="AB66" s="86"/>
      <c r="AC66" s="86"/>
      <c r="AD66" s="86"/>
      <c r="AE66" s="86"/>
      <c r="AF66" s="86"/>
      <c r="AG66" s="86"/>
      <c r="AH66" s="86"/>
      <c r="AI66" s="86"/>
      <c r="AJ66" s="86"/>
      <c r="AK66" s="86">
        <f t="shared" si="11"/>
        <v>0</v>
      </c>
      <c r="AP66" s="12">
        <v>20</v>
      </c>
      <c r="AQ66" s="83" t="s">
        <v>46</v>
      </c>
      <c r="AR66" s="86">
        <v>0</v>
      </c>
      <c r="AS66" s="86">
        <v>0</v>
      </c>
      <c r="AT66" s="86">
        <v>1</v>
      </c>
      <c r="AU66" s="86">
        <v>2</v>
      </c>
      <c r="AV66" s="86">
        <v>0</v>
      </c>
      <c r="AW66" s="86">
        <v>0</v>
      </c>
      <c r="AX66" s="17">
        <v>1</v>
      </c>
      <c r="AY66" s="213">
        <f>SUM(AR66:AX66)/7</f>
        <v>0.5714285714285714</v>
      </c>
    </row>
    <row r="67" spans="1:52" x14ac:dyDescent="0.45">
      <c r="A67" s="101" t="s">
        <v>83</v>
      </c>
      <c r="B67" s="77">
        <v>0</v>
      </c>
      <c r="C67" s="77">
        <v>0</v>
      </c>
      <c r="D67" s="77">
        <v>0</v>
      </c>
      <c r="E67" s="77">
        <v>0</v>
      </c>
      <c r="F67" s="77">
        <v>0</v>
      </c>
      <c r="G67" s="77">
        <v>0</v>
      </c>
      <c r="H67" s="77">
        <v>0</v>
      </c>
      <c r="I67" s="77">
        <v>0</v>
      </c>
      <c r="J67" s="77">
        <v>0</v>
      </c>
      <c r="K67" s="77"/>
      <c r="N67" s="12">
        <v>14</v>
      </c>
      <c r="O67" s="3" t="s">
        <v>13</v>
      </c>
      <c r="P67" s="86">
        <v>3</v>
      </c>
      <c r="Q67" s="86">
        <v>9</v>
      </c>
      <c r="R67" s="86">
        <v>0</v>
      </c>
      <c r="S67" s="86">
        <v>1</v>
      </c>
      <c r="T67" s="142">
        <v>6</v>
      </c>
      <c r="U67" s="86">
        <v>20</v>
      </c>
      <c r="V67" s="86">
        <v>3</v>
      </c>
      <c r="W67" s="86">
        <f t="shared" si="9"/>
        <v>6</v>
      </c>
      <c r="AA67" s="90" t="s">
        <v>51</v>
      </c>
      <c r="AB67" s="86"/>
      <c r="AC67" s="86"/>
      <c r="AD67" s="86"/>
      <c r="AE67" s="86">
        <v>2</v>
      </c>
      <c r="AF67" s="86">
        <v>1</v>
      </c>
      <c r="AG67" s="86">
        <v>3</v>
      </c>
      <c r="AH67" s="86"/>
      <c r="AI67" s="86">
        <v>2</v>
      </c>
      <c r="AJ67" s="86"/>
      <c r="AK67" s="86">
        <f t="shared" si="11"/>
        <v>8</v>
      </c>
      <c r="AP67" s="12">
        <v>21</v>
      </c>
      <c r="AQ67" s="90" t="s">
        <v>44</v>
      </c>
      <c r="AR67" s="86"/>
      <c r="AS67" s="86"/>
      <c r="AT67" s="86"/>
      <c r="AU67" s="86">
        <v>2</v>
      </c>
      <c r="AV67" s="86">
        <v>1</v>
      </c>
      <c r="AW67" s="86">
        <v>0</v>
      </c>
      <c r="AX67" s="86"/>
      <c r="AY67" s="213">
        <f>SUM(AR67:AX67)/7</f>
        <v>0.42857142857142855</v>
      </c>
    </row>
    <row r="68" spans="1:52" x14ac:dyDescent="0.45">
      <c r="A68" s="83" t="s">
        <v>50</v>
      </c>
      <c r="B68" s="77">
        <v>0</v>
      </c>
      <c r="C68" s="77">
        <v>0</v>
      </c>
      <c r="D68" s="77">
        <v>0</v>
      </c>
      <c r="E68" s="77">
        <v>0</v>
      </c>
      <c r="F68" s="77">
        <v>0</v>
      </c>
      <c r="G68" s="77">
        <v>0</v>
      </c>
      <c r="H68" s="77">
        <v>0</v>
      </c>
      <c r="I68" s="77">
        <v>0</v>
      </c>
      <c r="J68" s="77">
        <v>0</v>
      </c>
      <c r="K68" s="77">
        <f t="shared" si="10"/>
        <v>0</v>
      </c>
      <c r="N68" s="12">
        <v>15</v>
      </c>
      <c r="O68" s="83" t="s">
        <v>32</v>
      </c>
      <c r="P68" s="86">
        <v>8</v>
      </c>
      <c r="Q68" s="86">
        <v>6</v>
      </c>
      <c r="R68" s="86">
        <v>3</v>
      </c>
      <c r="S68" s="86">
        <v>5</v>
      </c>
      <c r="T68" s="86">
        <v>8</v>
      </c>
      <c r="U68" s="86">
        <v>8</v>
      </c>
      <c r="V68" s="86">
        <v>1</v>
      </c>
      <c r="W68" s="86">
        <f t="shared" si="9"/>
        <v>5.5714285714285712</v>
      </c>
      <c r="AA68" s="90" t="s">
        <v>42</v>
      </c>
      <c r="AB68" s="86"/>
      <c r="AC68" s="86"/>
      <c r="AD68" s="86"/>
      <c r="AE68" s="86"/>
      <c r="AF68" s="86"/>
      <c r="AG68" s="86"/>
      <c r="AH68" s="86"/>
      <c r="AI68" s="86"/>
      <c r="AJ68" s="86">
        <v>2</v>
      </c>
      <c r="AK68" s="86">
        <f t="shared" si="11"/>
        <v>2</v>
      </c>
      <c r="AP68" s="12"/>
      <c r="AQ68" s="83" t="s">
        <v>47</v>
      </c>
      <c r="AR68" s="86">
        <v>3</v>
      </c>
      <c r="AS68" s="86">
        <v>0</v>
      </c>
      <c r="AT68" s="86">
        <v>0</v>
      </c>
      <c r="AU68" s="86">
        <v>0</v>
      </c>
      <c r="AV68" s="86">
        <v>0</v>
      </c>
      <c r="AW68" s="86">
        <v>0</v>
      </c>
      <c r="AX68" s="86"/>
      <c r="AY68" s="213">
        <f t="shared" si="8"/>
        <v>0.42857142857142855</v>
      </c>
    </row>
    <row r="69" spans="1:52" x14ac:dyDescent="0.45">
      <c r="A69" s="83" t="s">
        <v>51</v>
      </c>
      <c r="B69" s="77">
        <v>0</v>
      </c>
      <c r="C69" s="77">
        <v>0</v>
      </c>
      <c r="D69" s="77">
        <v>0</v>
      </c>
      <c r="E69" s="77">
        <v>0</v>
      </c>
      <c r="F69" s="77">
        <v>0</v>
      </c>
      <c r="G69" s="77">
        <v>0</v>
      </c>
      <c r="H69" s="77">
        <v>0</v>
      </c>
      <c r="I69" s="77">
        <v>0</v>
      </c>
      <c r="J69" s="77">
        <v>0</v>
      </c>
      <c r="K69" s="77">
        <f t="shared" si="10"/>
        <v>0</v>
      </c>
      <c r="N69" s="12">
        <v>16</v>
      </c>
      <c r="O69" s="83" t="s">
        <v>54</v>
      </c>
      <c r="P69" s="86">
        <v>18</v>
      </c>
      <c r="Q69" s="86">
        <v>7</v>
      </c>
      <c r="R69" s="86">
        <v>3</v>
      </c>
      <c r="S69" s="142">
        <v>0</v>
      </c>
      <c r="T69" s="130">
        <v>2</v>
      </c>
      <c r="U69" s="86">
        <v>3</v>
      </c>
      <c r="V69" s="130">
        <v>2</v>
      </c>
      <c r="W69" s="86">
        <f t="shared" si="9"/>
        <v>5</v>
      </c>
      <c r="AA69" s="90" t="s">
        <v>8</v>
      </c>
      <c r="AB69" s="86"/>
      <c r="AC69" s="86"/>
      <c r="AD69" s="86"/>
      <c r="AE69" s="86"/>
      <c r="AF69" s="86"/>
      <c r="AG69" s="86"/>
      <c r="AH69" s="86"/>
      <c r="AI69" s="86"/>
      <c r="AJ69" s="86"/>
      <c r="AK69" s="86">
        <f t="shared" si="11"/>
        <v>0</v>
      </c>
      <c r="AP69" s="12">
        <v>22</v>
      </c>
      <c r="AQ69" s="135" t="s">
        <v>17</v>
      </c>
      <c r="AR69" s="130">
        <v>0</v>
      </c>
      <c r="AS69" s="130">
        <v>2</v>
      </c>
      <c r="AT69" s="130">
        <v>0</v>
      </c>
      <c r="AU69" s="86">
        <v>0</v>
      </c>
      <c r="AV69" s="86">
        <v>0</v>
      </c>
      <c r="AW69" s="130">
        <v>1</v>
      </c>
      <c r="AX69" s="130"/>
      <c r="AY69" s="213">
        <f t="shared" si="8"/>
        <v>0.42857142857142855</v>
      </c>
    </row>
    <row r="70" spans="1:52" x14ac:dyDescent="0.45">
      <c r="A70" s="83" t="s">
        <v>42</v>
      </c>
      <c r="B70" s="77">
        <v>0</v>
      </c>
      <c r="C70" s="77">
        <v>0</v>
      </c>
      <c r="D70" s="77">
        <v>0</v>
      </c>
      <c r="E70" s="77">
        <v>0</v>
      </c>
      <c r="F70" s="77">
        <v>0</v>
      </c>
      <c r="G70" s="77">
        <v>0</v>
      </c>
      <c r="H70" s="77">
        <v>0</v>
      </c>
      <c r="I70" s="77">
        <v>0</v>
      </c>
      <c r="J70" s="77">
        <v>0</v>
      </c>
      <c r="K70" s="77">
        <f t="shared" si="10"/>
        <v>0</v>
      </c>
      <c r="N70" s="12"/>
      <c r="O70" s="211" t="s">
        <v>163</v>
      </c>
      <c r="P70" s="210">
        <v>15</v>
      </c>
      <c r="Q70" s="210">
        <v>0</v>
      </c>
      <c r="R70" s="210">
        <v>0</v>
      </c>
      <c r="S70" s="210">
        <v>0</v>
      </c>
      <c r="T70" s="210">
        <v>0</v>
      </c>
      <c r="U70" s="210">
        <v>0</v>
      </c>
      <c r="V70" s="210">
        <v>0</v>
      </c>
      <c r="W70" s="210">
        <f t="shared" si="9"/>
        <v>2.1428571428571428</v>
      </c>
      <c r="AA70" s="90" t="s">
        <v>9</v>
      </c>
      <c r="AB70" s="86"/>
      <c r="AC70" s="86"/>
      <c r="AD70" s="86"/>
      <c r="AE70" s="86"/>
      <c r="AF70" s="86"/>
      <c r="AG70" s="86"/>
      <c r="AH70" s="86"/>
      <c r="AI70" s="86"/>
      <c r="AJ70" s="86"/>
      <c r="AK70" s="86">
        <f t="shared" si="11"/>
        <v>0</v>
      </c>
      <c r="AP70" s="12">
        <v>23</v>
      </c>
      <c r="AQ70" s="83" t="s">
        <v>50</v>
      </c>
      <c r="AR70" s="86">
        <v>1</v>
      </c>
      <c r="AS70" s="86">
        <v>0</v>
      </c>
      <c r="AT70" s="86">
        <v>0</v>
      </c>
      <c r="AU70" s="86">
        <v>0</v>
      </c>
      <c r="AV70" s="86">
        <v>0</v>
      </c>
      <c r="AW70" s="86">
        <v>1</v>
      </c>
      <c r="AX70" s="86"/>
      <c r="AY70" s="213">
        <f t="shared" si="8"/>
        <v>0.2857142857142857</v>
      </c>
    </row>
    <row r="71" spans="1:52" x14ac:dyDescent="0.45">
      <c r="A71" s="3" t="s">
        <v>8</v>
      </c>
      <c r="B71" s="77">
        <v>0</v>
      </c>
      <c r="C71" s="77">
        <v>0</v>
      </c>
      <c r="D71" s="77">
        <v>0</v>
      </c>
      <c r="E71" s="77">
        <v>0</v>
      </c>
      <c r="F71" s="77">
        <v>0</v>
      </c>
      <c r="G71" s="77">
        <v>0</v>
      </c>
      <c r="H71" s="77">
        <v>0</v>
      </c>
      <c r="I71" s="77">
        <v>0</v>
      </c>
      <c r="J71" s="77">
        <v>1</v>
      </c>
      <c r="K71" s="77">
        <f t="shared" si="10"/>
        <v>1</v>
      </c>
      <c r="N71" s="12">
        <v>17</v>
      </c>
      <c r="O71" s="3" t="s">
        <v>6</v>
      </c>
      <c r="P71" s="86">
        <v>0</v>
      </c>
      <c r="Q71" s="86">
        <v>0</v>
      </c>
      <c r="R71" s="86">
        <v>6</v>
      </c>
      <c r="S71" s="86">
        <v>5</v>
      </c>
      <c r="T71" s="86">
        <v>1</v>
      </c>
      <c r="U71" s="86">
        <v>2</v>
      </c>
      <c r="V71" s="86">
        <v>2</v>
      </c>
      <c r="W71" s="86">
        <f t="shared" si="9"/>
        <v>2.2857142857142856</v>
      </c>
      <c r="AA71" s="90" t="s">
        <v>44</v>
      </c>
      <c r="AB71" s="86"/>
      <c r="AC71" s="86"/>
      <c r="AD71" s="86"/>
      <c r="AE71" s="86"/>
      <c r="AF71" s="86"/>
      <c r="AG71" s="86"/>
      <c r="AH71" s="86"/>
      <c r="AI71" s="86"/>
      <c r="AJ71" s="86"/>
      <c r="AK71" s="86">
        <f t="shared" si="11"/>
        <v>0</v>
      </c>
      <c r="AP71" s="12">
        <v>24</v>
      </c>
      <c r="AQ71" s="83" t="s">
        <v>52</v>
      </c>
      <c r="AR71" s="86">
        <v>1</v>
      </c>
      <c r="AS71" s="86">
        <v>0</v>
      </c>
      <c r="AT71" s="86">
        <v>0</v>
      </c>
      <c r="AU71" s="86">
        <v>1</v>
      </c>
      <c r="AV71" s="86">
        <v>0</v>
      </c>
      <c r="AW71" s="86">
        <v>0</v>
      </c>
      <c r="AX71" s="86"/>
      <c r="AY71" s="213">
        <f t="shared" si="8"/>
        <v>0.2857142857142857</v>
      </c>
    </row>
    <row r="72" spans="1:52" x14ac:dyDescent="0.45">
      <c r="A72" s="3" t="s">
        <v>9</v>
      </c>
      <c r="B72" s="77">
        <v>0</v>
      </c>
      <c r="C72" s="77">
        <v>0</v>
      </c>
      <c r="D72" s="77">
        <v>0</v>
      </c>
      <c r="E72" s="77">
        <v>0</v>
      </c>
      <c r="F72" s="77">
        <v>0</v>
      </c>
      <c r="G72" s="77">
        <v>0</v>
      </c>
      <c r="H72" s="77">
        <v>0</v>
      </c>
      <c r="I72" s="77"/>
      <c r="J72" s="77"/>
      <c r="K72" s="77">
        <f t="shared" si="10"/>
        <v>0</v>
      </c>
      <c r="N72" s="12">
        <v>18</v>
      </c>
      <c r="O72" s="96" t="s">
        <v>8</v>
      </c>
      <c r="P72" s="86">
        <v>1</v>
      </c>
      <c r="Q72" s="86">
        <v>1</v>
      </c>
      <c r="R72" s="86">
        <v>5</v>
      </c>
      <c r="S72" s="142">
        <v>0</v>
      </c>
      <c r="T72" s="142">
        <v>0</v>
      </c>
      <c r="U72" s="86">
        <v>5</v>
      </c>
      <c r="V72" s="86">
        <v>1</v>
      </c>
      <c r="W72" s="86">
        <f t="shared" si="9"/>
        <v>1.8571428571428572</v>
      </c>
      <c r="AA72" s="90" t="s">
        <v>10</v>
      </c>
      <c r="AB72" s="86"/>
      <c r="AC72" s="86"/>
      <c r="AD72" s="86"/>
      <c r="AE72" s="86"/>
      <c r="AF72" s="86"/>
      <c r="AG72" s="86"/>
      <c r="AH72" s="86"/>
      <c r="AI72" s="86"/>
      <c r="AJ72" s="86"/>
      <c r="AK72" s="86">
        <f t="shared" si="11"/>
        <v>0</v>
      </c>
      <c r="AP72" s="12">
        <v>25</v>
      </c>
      <c r="AQ72" s="87" t="s">
        <v>145</v>
      </c>
      <c r="AR72" s="86">
        <v>0</v>
      </c>
      <c r="AS72" s="86">
        <v>0</v>
      </c>
      <c r="AT72" s="86">
        <v>0</v>
      </c>
      <c r="AU72" s="86">
        <v>0</v>
      </c>
      <c r="AV72" s="86">
        <v>1</v>
      </c>
      <c r="AW72" s="142">
        <v>0</v>
      </c>
      <c r="AX72" s="142"/>
      <c r="AY72" s="213">
        <f t="shared" si="8"/>
        <v>0.14285714285714285</v>
      </c>
    </row>
    <row r="73" spans="1:52" x14ac:dyDescent="0.45">
      <c r="A73" s="83" t="s">
        <v>44</v>
      </c>
      <c r="B73" s="77">
        <v>0</v>
      </c>
      <c r="C73" s="77">
        <v>0</v>
      </c>
      <c r="D73" s="77">
        <v>0</v>
      </c>
      <c r="E73" s="77">
        <v>0</v>
      </c>
      <c r="F73" s="77">
        <v>0</v>
      </c>
      <c r="G73" s="77">
        <v>0</v>
      </c>
      <c r="H73" s="77">
        <v>0</v>
      </c>
      <c r="I73" s="77">
        <v>0</v>
      </c>
      <c r="J73" s="77">
        <v>0</v>
      </c>
      <c r="K73" s="77">
        <f t="shared" si="10"/>
        <v>0</v>
      </c>
      <c r="N73" s="12">
        <v>19</v>
      </c>
      <c r="O73" s="83" t="s">
        <v>44</v>
      </c>
      <c r="P73" s="86">
        <v>1</v>
      </c>
      <c r="Q73" s="86">
        <v>0</v>
      </c>
      <c r="R73" s="86">
        <v>0</v>
      </c>
      <c r="S73" s="142">
        <v>0</v>
      </c>
      <c r="T73" s="86">
        <v>4</v>
      </c>
      <c r="U73" s="86">
        <v>3</v>
      </c>
      <c r="V73" s="86">
        <v>0</v>
      </c>
      <c r="W73" s="86">
        <f t="shared" si="9"/>
        <v>1.1428571428571428</v>
      </c>
      <c r="AA73" s="90" t="s">
        <v>11</v>
      </c>
      <c r="AB73" s="86"/>
      <c r="AC73" s="86"/>
      <c r="AD73" s="86"/>
      <c r="AE73" s="86"/>
      <c r="AF73" s="86">
        <v>160</v>
      </c>
      <c r="AG73" s="86">
        <v>400</v>
      </c>
      <c r="AH73" s="86">
        <v>25</v>
      </c>
      <c r="AI73" s="86">
        <v>3</v>
      </c>
      <c r="AJ73" s="86"/>
      <c r="AK73" s="86">
        <f t="shared" si="11"/>
        <v>588</v>
      </c>
      <c r="AP73" s="12">
        <v>26</v>
      </c>
      <c r="AQ73" s="90" t="s">
        <v>10</v>
      </c>
      <c r="AR73" s="130">
        <v>0</v>
      </c>
      <c r="AS73" s="130">
        <v>0</v>
      </c>
      <c r="AT73" s="130">
        <v>0</v>
      </c>
      <c r="AU73" s="86">
        <v>0</v>
      </c>
      <c r="AV73" s="86">
        <v>0</v>
      </c>
      <c r="AW73" s="130">
        <v>1</v>
      </c>
      <c r="AX73" s="130"/>
      <c r="AY73" s="213">
        <f t="shared" si="8"/>
        <v>0.14285714285714285</v>
      </c>
    </row>
    <row r="74" spans="1:52" x14ac:dyDescent="0.45">
      <c r="A74" s="3" t="s">
        <v>10</v>
      </c>
      <c r="B74" s="77">
        <v>0</v>
      </c>
      <c r="C74" s="77">
        <v>0</v>
      </c>
      <c r="D74" s="77">
        <v>0</v>
      </c>
      <c r="E74" s="77">
        <v>3</v>
      </c>
      <c r="F74" s="77">
        <v>0</v>
      </c>
      <c r="G74" s="77">
        <v>17</v>
      </c>
      <c r="H74" s="77">
        <v>0</v>
      </c>
      <c r="I74" s="77">
        <v>0</v>
      </c>
      <c r="J74" s="77">
        <v>0</v>
      </c>
      <c r="K74" s="77">
        <f t="shared" si="10"/>
        <v>20</v>
      </c>
      <c r="N74" s="12">
        <v>20</v>
      </c>
      <c r="O74" s="83" t="s">
        <v>51</v>
      </c>
      <c r="P74" s="86">
        <v>1</v>
      </c>
      <c r="Q74" s="86">
        <v>0</v>
      </c>
      <c r="R74" s="86">
        <v>0</v>
      </c>
      <c r="S74" s="142">
        <v>2</v>
      </c>
      <c r="T74" s="142">
        <v>0</v>
      </c>
      <c r="U74" s="86">
        <v>3</v>
      </c>
      <c r="V74" s="86">
        <v>0</v>
      </c>
      <c r="W74" s="213">
        <f t="shared" si="9"/>
        <v>0.8571428571428571</v>
      </c>
      <c r="AA74" s="90" t="s">
        <v>12</v>
      </c>
      <c r="AB74" s="86"/>
      <c r="AC74" s="86"/>
      <c r="AD74" s="86"/>
      <c r="AE74" s="86"/>
      <c r="AF74" s="86">
        <v>5</v>
      </c>
      <c r="AG74" s="86"/>
      <c r="AH74" s="86"/>
      <c r="AI74" s="86"/>
      <c r="AJ74" s="86"/>
      <c r="AK74" s="86">
        <f t="shared" si="11"/>
        <v>5</v>
      </c>
      <c r="AN74" s="73"/>
      <c r="AP74" s="12"/>
      <c r="AQ74" s="242" t="s">
        <v>146</v>
      </c>
      <c r="AR74" s="21"/>
      <c r="AS74" s="21"/>
      <c r="AT74" s="21"/>
      <c r="AU74" s="21"/>
      <c r="AV74" s="21"/>
      <c r="AW74" s="21"/>
      <c r="AX74" s="233">
        <v>1</v>
      </c>
      <c r="AY74" s="245">
        <f t="shared" si="8"/>
        <v>0.14285714285714285</v>
      </c>
      <c r="AZ74" s="142"/>
    </row>
    <row r="75" spans="1:52" x14ac:dyDescent="0.45">
      <c r="A75" s="3" t="s">
        <v>11</v>
      </c>
      <c r="B75" s="77">
        <v>0</v>
      </c>
      <c r="C75" s="77">
        <v>0</v>
      </c>
      <c r="D75" s="77">
        <v>5</v>
      </c>
      <c r="E75" s="77">
        <v>6</v>
      </c>
      <c r="F75" s="77">
        <v>108</v>
      </c>
      <c r="G75" s="77">
        <v>7</v>
      </c>
      <c r="H75" s="77">
        <v>0</v>
      </c>
      <c r="I75" s="77">
        <v>0</v>
      </c>
      <c r="J75" s="77">
        <v>9</v>
      </c>
      <c r="K75" s="77">
        <f t="shared" si="10"/>
        <v>135</v>
      </c>
      <c r="N75" s="12">
        <v>21</v>
      </c>
      <c r="O75" s="83" t="s">
        <v>53</v>
      </c>
      <c r="P75" s="86">
        <v>0</v>
      </c>
      <c r="Q75" s="86">
        <v>3</v>
      </c>
      <c r="R75" s="86">
        <v>0</v>
      </c>
      <c r="S75" s="142">
        <v>0</v>
      </c>
      <c r="T75" s="142">
        <v>0</v>
      </c>
      <c r="U75" s="86">
        <v>2</v>
      </c>
      <c r="V75" s="208">
        <v>0</v>
      </c>
      <c r="W75" s="213">
        <f t="shared" si="9"/>
        <v>0.7142857142857143</v>
      </c>
      <c r="AA75" s="90" t="s">
        <v>32</v>
      </c>
      <c r="AB75" s="86"/>
      <c r="AC75" s="86"/>
      <c r="AD75" s="86"/>
      <c r="AE75" s="86"/>
      <c r="AF75" s="86"/>
      <c r="AG75" s="86"/>
      <c r="AH75" s="86"/>
      <c r="AI75" s="86"/>
      <c r="AJ75" s="86"/>
      <c r="AK75" s="86">
        <f t="shared" si="11"/>
        <v>0</v>
      </c>
      <c r="AN75" s="73"/>
      <c r="AP75" s="73"/>
      <c r="AQ75" s="244" t="s">
        <v>57</v>
      </c>
      <c r="AR75" s="164">
        <f t="shared" ref="AR75:AW75" si="12">SUM(AR47:AR73)</f>
        <v>21363</v>
      </c>
      <c r="AS75" s="160">
        <f t="shared" si="12"/>
        <v>958</v>
      </c>
      <c r="AT75" s="160">
        <f t="shared" si="12"/>
        <v>5398</v>
      </c>
      <c r="AU75" s="160">
        <f t="shared" si="12"/>
        <v>3727</v>
      </c>
      <c r="AV75" s="160">
        <f t="shared" si="12"/>
        <v>3014</v>
      </c>
      <c r="AW75" s="160">
        <f t="shared" si="12"/>
        <v>16889</v>
      </c>
      <c r="AX75" s="164">
        <f>SUM(AX47:AX74)</f>
        <v>8875</v>
      </c>
      <c r="AY75" s="164">
        <f>SUM(AR75:AX75)/7</f>
        <v>8603.4285714285706</v>
      </c>
    </row>
    <row r="76" spans="1:52" x14ac:dyDescent="0.45">
      <c r="A76" s="3" t="s">
        <v>12</v>
      </c>
      <c r="B76" s="77">
        <v>0</v>
      </c>
      <c r="C76" s="77">
        <v>0</v>
      </c>
      <c r="D76" s="77">
        <v>2</v>
      </c>
      <c r="E76" s="77">
        <v>14</v>
      </c>
      <c r="F76" s="77">
        <v>9</v>
      </c>
      <c r="G76" s="77">
        <v>3</v>
      </c>
      <c r="H76" s="77">
        <v>0</v>
      </c>
      <c r="I76" s="77">
        <v>0</v>
      </c>
      <c r="J76" s="77">
        <v>0</v>
      </c>
      <c r="K76" s="77">
        <f t="shared" si="10"/>
        <v>28</v>
      </c>
      <c r="N76" s="12">
        <v>22</v>
      </c>
      <c r="O76" s="3" t="s">
        <v>16</v>
      </c>
      <c r="P76" s="86">
        <v>3</v>
      </c>
      <c r="Q76" s="86">
        <v>1</v>
      </c>
      <c r="R76" s="86">
        <v>0</v>
      </c>
      <c r="S76" s="142">
        <v>0</v>
      </c>
      <c r="T76" s="86">
        <v>0</v>
      </c>
      <c r="U76" s="86">
        <v>1</v>
      </c>
      <c r="V76" s="86">
        <v>0</v>
      </c>
      <c r="W76" s="213">
        <f t="shared" si="9"/>
        <v>0.7142857142857143</v>
      </c>
      <c r="AA76" s="90" t="s">
        <v>146</v>
      </c>
      <c r="AB76" s="86"/>
      <c r="AC76" s="86"/>
      <c r="AD76" s="86"/>
      <c r="AE76" s="86"/>
      <c r="AF76" s="86"/>
      <c r="AG76" s="86"/>
      <c r="AH76" s="86"/>
      <c r="AI76" s="86"/>
      <c r="AJ76" s="86"/>
      <c r="AK76" s="86">
        <f t="shared" si="11"/>
        <v>0</v>
      </c>
      <c r="AQ76" s="28" t="s">
        <v>67</v>
      </c>
      <c r="AR76" s="86">
        <v>19</v>
      </c>
      <c r="AS76" s="86">
        <v>15</v>
      </c>
      <c r="AT76" s="86">
        <v>15</v>
      </c>
      <c r="AU76" s="86">
        <v>19</v>
      </c>
      <c r="AV76" s="86">
        <v>16</v>
      </c>
      <c r="AW76" s="17">
        <v>20</v>
      </c>
      <c r="AX76" s="17">
        <v>17</v>
      </c>
      <c r="AY76" s="86">
        <f t="shared" ref="AY76" si="13">SUM(AR76:AX76)/7</f>
        <v>17.285714285714285</v>
      </c>
    </row>
    <row r="77" spans="1:52" x14ac:dyDescent="0.45">
      <c r="A77" s="83" t="s">
        <v>32</v>
      </c>
      <c r="B77" s="77">
        <v>0</v>
      </c>
      <c r="C77" s="77">
        <v>0</v>
      </c>
      <c r="D77" s="77">
        <v>0</v>
      </c>
      <c r="E77" s="77">
        <v>1</v>
      </c>
      <c r="F77" s="77">
        <v>5</v>
      </c>
      <c r="G77" s="77">
        <v>0</v>
      </c>
      <c r="H77" s="77">
        <v>0</v>
      </c>
      <c r="I77" s="77">
        <v>0</v>
      </c>
      <c r="J77" s="77">
        <v>0</v>
      </c>
      <c r="K77" s="77">
        <f t="shared" si="10"/>
        <v>6</v>
      </c>
      <c r="N77" s="12">
        <v>23</v>
      </c>
      <c r="O77" s="83" t="s">
        <v>42</v>
      </c>
      <c r="P77" s="86">
        <v>1</v>
      </c>
      <c r="Q77" s="86">
        <v>0</v>
      </c>
      <c r="R77" s="86">
        <v>0</v>
      </c>
      <c r="S77" s="142">
        <v>0</v>
      </c>
      <c r="T77" s="142">
        <v>1</v>
      </c>
      <c r="U77" s="86">
        <v>1</v>
      </c>
      <c r="V77" s="86">
        <v>1</v>
      </c>
      <c r="W77" s="213">
        <f>SUM(P77:V77)/7</f>
        <v>0.5714285714285714</v>
      </c>
      <c r="AA77" s="90" t="s">
        <v>46</v>
      </c>
      <c r="AB77" s="86"/>
      <c r="AC77" s="86"/>
      <c r="AD77" s="86"/>
      <c r="AE77" s="86"/>
      <c r="AF77" s="86"/>
      <c r="AG77" s="86"/>
      <c r="AH77" s="86"/>
      <c r="AI77" s="86"/>
      <c r="AJ77" s="86"/>
      <c r="AK77" s="86">
        <f t="shared" si="11"/>
        <v>0</v>
      </c>
      <c r="AT77"/>
    </row>
    <row r="78" spans="1:52" x14ac:dyDescent="0.45">
      <c r="A78" s="3" t="s">
        <v>18</v>
      </c>
      <c r="B78" s="77">
        <v>0</v>
      </c>
      <c r="C78" s="77">
        <v>0</v>
      </c>
      <c r="D78" s="77">
        <v>0</v>
      </c>
      <c r="E78" s="77">
        <v>0</v>
      </c>
      <c r="F78" s="77">
        <v>32</v>
      </c>
      <c r="G78" s="77">
        <v>0</v>
      </c>
      <c r="H78" s="77">
        <v>0</v>
      </c>
      <c r="I78" s="77">
        <v>0</v>
      </c>
      <c r="J78" s="77">
        <v>0</v>
      </c>
      <c r="K78" s="77">
        <f t="shared" si="10"/>
        <v>32</v>
      </c>
      <c r="N78" s="12">
        <v>24</v>
      </c>
      <c r="O78" s="83" t="s">
        <v>45</v>
      </c>
      <c r="P78" s="86">
        <v>0</v>
      </c>
      <c r="Q78" s="86">
        <v>0</v>
      </c>
      <c r="R78" s="86">
        <v>2</v>
      </c>
      <c r="S78" s="142">
        <v>0</v>
      </c>
      <c r="T78" s="86">
        <v>0</v>
      </c>
      <c r="U78" s="86">
        <v>1</v>
      </c>
      <c r="V78" s="86">
        <v>0</v>
      </c>
      <c r="W78" s="213">
        <f>SUM(P78:V78)/7</f>
        <v>0.42857142857142855</v>
      </c>
      <c r="AA78" s="90" t="s">
        <v>13</v>
      </c>
      <c r="AB78" s="86"/>
      <c r="AC78" s="86"/>
      <c r="AD78" s="86"/>
      <c r="AE78" s="86"/>
      <c r="AF78" s="86"/>
      <c r="AG78" s="86"/>
      <c r="AH78" s="86"/>
      <c r="AI78" s="86">
        <v>2</v>
      </c>
      <c r="AJ78" s="86"/>
      <c r="AK78" s="86">
        <f t="shared" si="11"/>
        <v>2</v>
      </c>
      <c r="AX78"/>
    </row>
    <row r="79" spans="1:52" x14ac:dyDescent="0.45">
      <c r="A79" s="83" t="s">
        <v>46</v>
      </c>
      <c r="B79" s="77">
        <v>0</v>
      </c>
      <c r="C79" s="77">
        <v>0</v>
      </c>
      <c r="D79" s="77">
        <v>0</v>
      </c>
      <c r="E79" s="77">
        <v>0</v>
      </c>
      <c r="F79" s="77">
        <v>0</v>
      </c>
      <c r="G79" s="77">
        <v>0</v>
      </c>
      <c r="H79" s="77">
        <v>0</v>
      </c>
      <c r="I79" s="77">
        <v>0</v>
      </c>
      <c r="J79" s="77">
        <v>0</v>
      </c>
      <c r="K79" s="77">
        <f t="shared" si="10"/>
        <v>0</v>
      </c>
      <c r="N79" s="12">
        <v>25</v>
      </c>
      <c r="O79" s="156" t="s">
        <v>46</v>
      </c>
      <c r="P79" s="180"/>
      <c r="Q79" s="180"/>
      <c r="R79" s="180"/>
      <c r="S79" s="180"/>
      <c r="U79" s="86">
        <v>3</v>
      </c>
      <c r="V79" s="86">
        <v>0</v>
      </c>
      <c r="W79" s="213">
        <f t="shared" si="9"/>
        <v>0.42857142857142855</v>
      </c>
      <c r="AA79" s="90" t="s">
        <v>14</v>
      </c>
      <c r="AB79" s="86"/>
      <c r="AC79" s="86"/>
      <c r="AD79" s="86">
        <v>5</v>
      </c>
      <c r="AE79" s="86">
        <v>2</v>
      </c>
      <c r="AF79" s="86">
        <v>20</v>
      </c>
      <c r="AG79" s="86">
        <v>30</v>
      </c>
      <c r="AH79" s="86">
        <v>1</v>
      </c>
      <c r="AI79" s="86">
        <v>2</v>
      </c>
      <c r="AJ79" s="86"/>
      <c r="AK79" s="86">
        <f t="shared" si="11"/>
        <v>60</v>
      </c>
      <c r="AO79" s="2"/>
      <c r="AP79" s="2"/>
      <c r="AQ79" s="2"/>
      <c r="AR79" s="2"/>
    </row>
    <row r="80" spans="1:52" x14ac:dyDescent="0.45">
      <c r="A80" s="3" t="s">
        <v>13</v>
      </c>
      <c r="B80" s="77">
        <v>0</v>
      </c>
      <c r="C80" s="77">
        <v>0</v>
      </c>
      <c r="D80" s="77">
        <v>0</v>
      </c>
      <c r="E80" s="77">
        <v>0</v>
      </c>
      <c r="F80" s="77">
        <v>1</v>
      </c>
      <c r="G80" s="77">
        <v>1</v>
      </c>
      <c r="H80" s="77">
        <v>7</v>
      </c>
      <c r="I80" s="77">
        <v>0</v>
      </c>
      <c r="J80" s="77">
        <v>0</v>
      </c>
      <c r="K80" s="77">
        <f t="shared" si="10"/>
        <v>9</v>
      </c>
      <c r="N80" s="12">
        <v>26</v>
      </c>
      <c r="O80" s="83" t="s">
        <v>43</v>
      </c>
      <c r="P80" s="86">
        <v>1</v>
      </c>
      <c r="Q80" s="86">
        <v>0</v>
      </c>
      <c r="R80" s="86">
        <v>0</v>
      </c>
      <c r="S80" s="142">
        <v>0</v>
      </c>
      <c r="T80" s="142">
        <v>0</v>
      </c>
      <c r="U80" s="86">
        <v>0</v>
      </c>
      <c r="V80" s="86">
        <v>0</v>
      </c>
      <c r="W80" s="213">
        <f t="shared" si="9"/>
        <v>0.14285714285714285</v>
      </c>
      <c r="AA80" s="90" t="s">
        <v>40</v>
      </c>
      <c r="AB80" s="86"/>
      <c r="AC80" s="86"/>
      <c r="AD80" s="86"/>
      <c r="AE80" s="86"/>
      <c r="AF80" s="86"/>
      <c r="AG80" s="86"/>
      <c r="AH80" s="86"/>
      <c r="AI80" s="86"/>
      <c r="AJ80" s="86"/>
      <c r="AK80" s="86">
        <f t="shared" si="11"/>
        <v>0</v>
      </c>
    </row>
    <row r="81" spans="1:38" x14ac:dyDescent="0.45">
      <c r="A81" s="3" t="s">
        <v>14</v>
      </c>
      <c r="B81" s="77">
        <v>0</v>
      </c>
      <c r="C81" s="77">
        <v>0</v>
      </c>
      <c r="D81" s="77">
        <v>5</v>
      </c>
      <c r="E81" s="77">
        <v>14</v>
      </c>
      <c r="F81" s="77">
        <v>4</v>
      </c>
      <c r="G81" s="77">
        <v>0</v>
      </c>
      <c r="H81" s="19">
        <v>2</v>
      </c>
      <c r="I81" s="77">
        <v>0</v>
      </c>
      <c r="J81" s="19">
        <v>2</v>
      </c>
      <c r="K81" s="77">
        <f t="shared" si="10"/>
        <v>27</v>
      </c>
      <c r="N81" s="12">
        <v>27</v>
      </c>
      <c r="O81" s="78" t="s">
        <v>9</v>
      </c>
      <c r="P81" s="99">
        <v>0</v>
      </c>
      <c r="Q81" s="99">
        <v>0</v>
      </c>
      <c r="R81" s="99">
        <v>1</v>
      </c>
      <c r="S81" s="142">
        <v>0</v>
      </c>
      <c r="T81" s="86">
        <v>0</v>
      </c>
      <c r="U81" s="86">
        <v>0</v>
      </c>
      <c r="V81" s="86">
        <v>0</v>
      </c>
      <c r="W81" s="213">
        <f t="shared" si="9"/>
        <v>0.14285714285714285</v>
      </c>
      <c r="AA81" s="90" t="s">
        <v>52</v>
      </c>
      <c r="AB81" s="86"/>
      <c r="AC81" s="86"/>
      <c r="AD81" s="86"/>
      <c r="AE81" s="86"/>
      <c r="AF81" s="86"/>
      <c r="AG81" s="86"/>
      <c r="AH81" s="86"/>
      <c r="AI81" s="86"/>
      <c r="AJ81" s="86"/>
      <c r="AK81" s="86">
        <f t="shared" si="11"/>
        <v>0</v>
      </c>
    </row>
    <row r="82" spans="1:38" x14ac:dyDescent="0.45">
      <c r="A82" s="83" t="s">
        <v>40</v>
      </c>
      <c r="B82" s="77">
        <v>12</v>
      </c>
      <c r="C82" s="77">
        <v>0</v>
      </c>
      <c r="D82" s="77">
        <v>0</v>
      </c>
      <c r="E82" s="77">
        <v>0</v>
      </c>
      <c r="F82" s="77">
        <v>10</v>
      </c>
      <c r="G82" s="77">
        <v>0</v>
      </c>
      <c r="H82" s="77">
        <v>0</v>
      </c>
      <c r="I82" s="77">
        <v>0</v>
      </c>
      <c r="J82" s="77">
        <v>0</v>
      </c>
      <c r="K82" s="77">
        <f t="shared" si="10"/>
        <v>22</v>
      </c>
      <c r="O82" s="32" t="s">
        <v>57</v>
      </c>
      <c r="P82" s="86">
        <f t="shared" ref="P82:U82" si="14">SUM(P51:P81)</f>
        <v>1065</v>
      </c>
      <c r="Q82" s="86">
        <f t="shared" si="14"/>
        <v>5476</v>
      </c>
      <c r="R82" s="86">
        <f t="shared" si="14"/>
        <v>818</v>
      </c>
      <c r="S82" s="160">
        <f t="shared" si="14"/>
        <v>212</v>
      </c>
      <c r="T82" s="160">
        <f t="shared" si="14"/>
        <v>1819</v>
      </c>
      <c r="U82" s="164">
        <f t="shared" si="14"/>
        <v>1162</v>
      </c>
      <c r="V82" s="164">
        <f>SUM(V51:V81)</f>
        <v>273</v>
      </c>
      <c r="W82" s="164">
        <f t="shared" si="9"/>
        <v>1546.4285714285713</v>
      </c>
      <c r="AA82" s="90" t="s">
        <v>53</v>
      </c>
      <c r="AB82" s="86"/>
      <c r="AC82" s="86"/>
      <c r="AD82" s="86"/>
      <c r="AE82" s="86"/>
      <c r="AF82" s="86"/>
      <c r="AG82" s="86"/>
      <c r="AH82" s="86"/>
      <c r="AI82" s="86"/>
      <c r="AJ82" s="86"/>
      <c r="AK82" s="86">
        <f t="shared" si="11"/>
        <v>0</v>
      </c>
    </row>
    <row r="83" spans="1:38" x14ac:dyDescent="0.45">
      <c r="A83" s="83" t="s">
        <v>52</v>
      </c>
      <c r="B83" s="77">
        <v>0</v>
      </c>
      <c r="C83" s="77">
        <v>0</v>
      </c>
      <c r="D83" s="77">
        <v>0</v>
      </c>
      <c r="E83" s="77">
        <v>0</v>
      </c>
      <c r="F83" s="77">
        <v>0</v>
      </c>
      <c r="G83" s="77">
        <v>0</v>
      </c>
      <c r="H83" s="77">
        <v>0</v>
      </c>
      <c r="I83" s="77">
        <v>0</v>
      </c>
      <c r="J83" s="77">
        <v>0</v>
      </c>
      <c r="K83" s="77">
        <f t="shared" si="10"/>
        <v>0</v>
      </c>
      <c r="O83" s="1" t="s">
        <v>67</v>
      </c>
      <c r="P83">
        <v>21</v>
      </c>
      <c r="Q83">
        <v>19</v>
      </c>
      <c r="R83">
        <v>18</v>
      </c>
      <c r="S83">
        <v>15</v>
      </c>
      <c r="T83" s="180">
        <v>17</v>
      </c>
      <c r="U83">
        <v>25</v>
      </c>
      <c r="V83" s="180">
        <v>16</v>
      </c>
      <c r="W83" s="86">
        <v>18.714285714285715</v>
      </c>
      <c r="AA83" s="90" t="s">
        <v>15</v>
      </c>
      <c r="AB83" s="86"/>
      <c r="AC83" s="86"/>
      <c r="AD83" s="86">
        <v>2</v>
      </c>
      <c r="AE83" s="86">
        <v>17</v>
      </c>
      <c r="AF83" s="86">
        <v>65</v>
      </c>
      <c r="AG83" s="86">
        <v>30</v>
      </c>
      <c r="AH83" s="86">
        <v>2</v>
      </c>
      <c r="AI83" s="86">
        <v>52</v>
      </c>
      <c r="AJ83" s="86">
        <v>6</v>
      </c>
      <c r="AK83" s="86">
        <f t="shared" si="11"/>
        <v>174</v>
      </c>
    </row>
    <row r="84" spans="1:38" x14ac:dyDescent="0.45">
      <c r="A84" s="83" t="s">
        <v>53</v>
      </c>
      <c r="B84" s="77">
        <v>0</v>
      </c>
      <c r="C84" s="77">
        <v>0</v>
      </c>
      <c r="D84" s="77">
        <v>2</v>
      </c>
      <c r="E84" s="77"/>
      <c r="F84" s="77">
        <v>1</v>
      </c>
      <c r="G84" s="77">
        <v>0</v>
      </c>
      <c r="H84" s="77">
        <v>0</v>
      </c>
      <c r="I84" s="77">
        <v>0</v>
      </c>
      <c r="J84" s="77">
        <v>0</v>
      </c>
      <c r="K84" s="77">
        <f t="shared" si="10"/>
        <v>3</v>
      </c>
      <c r="AA84" s="90" t="s">
        <v>54</v>
      </c>
      <c r="AB84" s="86"/>
      <c r="AC84" s="86"/>
      <c r="AD84" s="86"/>
      <c r="AE84" s="86"/>
      <c r="AF84" s="86"/>
      <c r="AG84" s="86"/>
      <c r="AH84" s="86"/>
      <c r="AI84" s="86"/>
      <c r="AJ84" s="86"/>
      <c r="AK84" s="86">
        <f t="shared" si="11"/>
        <v>0</v>
      </c>
    </row>
    <row r="85" spans="1:38" x14ac:dyDescent="0.45">
      <c r="A85" s="3" t="s">
        <v>15</v>
      </c>
      <c r="B85" s="77">
        <v>0</v>
      </c>
      <c r="C85" s="77">
        <v>0</v>
      </c>
      <c r="D85" s="77">
        <v>0</v>
      </c>
      <c r="E85" s="77">
        <v>10</v>
      </c>
      <c r="F85" s="77">
        <v>3</v>
      </c>
      <c r="G85" s="77">
        <v>6</v>
      </c>
      <c r="H85" s="77">
        <v>5</v>
      </c>
      <c r="I85" s="77">
        <v>0</v>
      </c>
      <c r="J85" s="77">
        <v>3</v>
      </c>
      <c r="K85" s="77">
        <f t="shared" si="10"/>
        <v>27</v>
      </c>
      <c r="AA85" s="90" t="s">
        <v>47</v>
      </c>
      <c r="AB85" s="86"/>
      <c r="AC85" s="86"/>
      <c r="AD85" s="86"/>
      <c r="AE85" s="86"/>
      <c r="AF85" s="86"/>
      <c r="AG85" s="86"/>
      <c r="AH85" s="86"/>
      <c r="AI85" s="86"/>
      <c r="AJ85" s="86"/>
      <c r="AK85" s="86">
        <f t="shared" si="11"/>
        <v>0</v>
      </c>
    </row>
    <row r="86" spans="1:38" x14ac:dyDescent="0.45">
      <c r="A86" s="83" t="s">
        <v>54</v>
      </c>
      <c r="B86" s="77">
        <v>0</v>
      </c>
      <c r="C86" s="77">
        <v>0</v>
      </c>
      <c r="D86" s="77">
        <v>0</v>
      </c>
      <c r="E86" s="77">
        <v>0</v>
      </c>
      <c r="F86" s="77">
        <v>1</v>
      </c>
      <c r="G86" s="77">
        <v>2</v>
      </c>
      <c r="H86" s="77">
        <v>2</v>
      </c>
      <c r="I86" s="77">
        <v>1</v>
      </c>
      <c r="J86" s="77">
        <v>1</v>
      </c>
      <c r="K86" s="77">
        <f t="shared" si="10"/>
        <v>7</v>
      </c>
      <c r="AA86" s="90" t="s">
        <v>16</v>
      </c>
      <c r="AB86" s="86"/>
      <c r="AC86" s="86"/>
      <c r="AD86" s="86"/>
      <c r="AE86" s="86"/>
      <c r="AF86" s="86">
        <v>1</v>
      </c>
      <c r="AG86" s="86">
        <v>1</v>
      </c>
      <c r="AH86" s="86"/>
      <c r="AI86" s="86">
        <v>1</v>
      </c>
      <c r="AJ86" s="86"/>
      <c r="AK86" s="86">
        <f t="shared" si="11"/>
        <v>3</v>
      </c>
    </row>
    <row r="87" spans="1:38" x14ac:dyDescent="0.45">
      <c r="A87" s="83" t="s">
        <v>47</v>
      </c>
      <c r="B87" s="77">
        <v>0</v>
      </c>
      <c r="C87" s="77">
        <v>0</v>
      </c>
      <c r="D87" s="77">
        <v>0</v>
      </c>
      <c r="E87" s="77">
        <v>2</v>
      </c>
      <c r="F87" s="77">
        <v>0</v>
      </c>
      <c r="G87" s="77">
        <v>2</v>
      </c>
      <c r="H87" s="77">
        <v>0</v>
      </c>
      <c r="I87" s="77">
        <v>0</v>
      </c>
      <c r="J87" s="77">
        <v>4</v>
      </c>
      <c r="K87" s="77">
        <f t="shared" si="10"/>
        <v>8</v>
      </c>
      <c r="AA87" s="34" t="s">
        <v>17</v>
      </c>
      <c r="AB87" s="99"/>
      <c r="AC87" s="86"/>
      <c r="AD87" s="99"/>
      <c r="AE87" s="99"/>
      <c r="AF87" s="99"/>
      <c r="AG87" s="99"/>
      <c r="AH87" s="99"/>
      <c r="AI87" s="99"/>
      <c r="AJ87" s="99">
        <v>2</v>
      </c>
      <c r="AK87" s="99">
        <f t="shared" si="11"/>
        <v>2</v>
      </c>
    </row>
    <row r="88" spans="1:38" x14ac:dyDescent="0.45">
      <c r="A88" s="3" t="s">
        <v>16</v>
      </c>
      <c r="B88" s="77">
        <v>0</v>
      </c>
      <c r="C88" s="77">
        <v>0</v>
      </c>
      <c r="D88" s="77">
        <v>0</v>
      </c>
      <c r="E88" s="77">
        <v>0</v>
      </c>
      <c r="F88" s="77">
        <v>0</v>
      </c>
      <c r="G88" s="77">
        <v>1</v>
      </c>
      <c r="H88" s="77">
        <v>0</v>
      </c>
      <c r="I88" s="77">
        <v>0</v>
      </c>
      <c r="J88" s="77">
        <v>0</v>
      </c>
      <c r="K88" s="77">
        <f t="shared" si="10"/>
        <v>1</v>
      </c>
      <c r="AA88" s="95" t="s">
        <v>144</v>
      </c>
      <c r="AB88" s="86">
        <f>SUM(AB55:AB87)</f>
        <v>0</v>
      </c>
      <c r="AC88" s="160">
        <f>SUM(AC55:AC87)</f>
        <v>0</v>
      </c>
      <c r="AD88" s="86">
        <f t="shared" ref="AD88:AK88" si="15">SUM(AD55:AD87)</f>
        <v>11</v>
      </c>
      <c r="AE88" s="86">
        <f t="shared" si="15"/>
        <v>25</v>
      </c>
      <c r="AF88" s="86">
        <f t="shared" si="15"/>
        <v>322</v>
      </c>
      <c r="AG88" s="86">
        <f t="shared" si="15"/>
        <v>478</v>
      </c>
      <c r="AH88" s="86">
        <f t="shared" si="15"/>
        <v>30</v>
      </c>
      <c r="AI88" s="86">
        <f t="shared" si="15"/>
        <v>70</v>
      </c>
      <c r="AJ88" s="86">
        <f t="shared" si="15"/>
        <v>22</v>
      </c>
      <c r="AK88" s="86">
        <f t="shared" si="15"/>
        <v>958</v>
      </c>
      <c r="AL88" s="17">
        <f>SUM(AB88:AJ88)</f>
        <v>958</v>
      </c>
    </row>
    <row r="89" spans="1:38" x14ac:dyDescent="0.45">
      <c r="A89" s="83" t="s">
        <v>55</v>
      </c>
      <c r="B89" s="77">
        <v>0</v>
      </c>
      <c r="C89" s="77">
        <v>0</v>
      </c>
      <c r="D89" s="77">
        <v>0</v>
      </c>
      <c r="E89" s="77">
        <v>0</v>
      </c>
      <c r="F89" s="77">
        <v>0</v>
      </c>
      <c r="G89" s="77">
        <v>0</v>
      </c>
      <c r="H89" s="77">
        <v>0</v>
      </c>
      <c r="I89" s="77">
        <v>0</v>
      </c>
      <c r="J89" s="77">
        <v>0</v>
      </c>
      <c r="K89" s="77">
        <f t="shared" si="10"/>
        <v>0</v>
      </c>
      <c r="O89" s="2"/>
      <c r="P89" s="2"/>
      <c r="Q89" s="2"/>
      <c r="R89" s="2"/>
    </row>
    <row r="90" spans="1:38" x14ac:dyDescent="0.45">
      <c r="A90" s="78" t="s">
        <v>17</v>
      </c>
      <c r="B90" s="77">
        <v>0</v>
      </c>
      <c r="C90" s="77">
        <v>0</v>
      </c>
      <c r="D90" s="77">
        <v>0</v>
      </c>
      <c r="E90" s="77">
        <v>0</v>
      </c>
      <c r="F90" s="77">
        <v>0</v>
      </c>
      <c r="G90" s="77">
        <v>0</v>
      </c>
      <c r="H90" s="77">
        <v>0</v>
      </c>
      <c r="I90" s="77">
        <v>0</v>
      </c>
      <c r="J90" s="77">
        <v>0</v>
      </c>
      <c r="K90" s="77">
        <f t="shared" si="10"/>
        <v>0</v>
      </c>
    </row>
    <row r="91" spans="1:38" x14ac:dyDescent="0.45">
      <c r="A91" s="11" t="s">
        <v>24</v>
      </c>
      <c r="B91" s="154">
        <f>SUM(B56:B90)</f>
        <v>20</v>
      </c>
      <c r="C91" s="151">
        <f t="shared" ref="C91:K91" si="16">SUM(C56:C90)</f>
        <v>6</v>
      </c>
      <c r="D91" s="151">
        <f t="shared" si="16"/>
        <v>32</v>
      </c>
      <c r="E91" s="151">
        <f t="shared" si="16"/>
        <v>79</v>
      </c>
      <c r="F91" s="151">
        <f t="shared" si="16"/>
        <v>195</v>
      </c>
      <c r="G91" s="151">
        <f t="shared" si="16"/>
        <v>73</v>
      </c>
      <c r="H91" s="151">
        <f t="shared" si="16"/>
        <v>39</v>
      </c>
      <c r="I91" s="151">
        <f t="shared" si="16"/>
        <v>2</v>
      </c>
      <c r="J91" s="151">
        <f t="shared" si="16"/>
        <v>30</v>
      </c>
      <c r="K91" s="151">
        <f t="shared" si="16"/>
        <v>476</v>
      </c>
      <c r="AA91" s="1" t="s">
        <v>167</v>
      </c>
    </row>
    <row r="92" spans="1:38" x14ac:dyDescent="0.45">
      <c r="AA92" s="1" t="s">
        <v>148</v>
      </c>
    </row>
    <row r="94" spans="1:38" x14ac:dyDescent="0.45">
      <c r="A94" s="1" t="s">
        <v>167</v>
      </c>
      <c r="B94" s="2"/>
      <c r="AA94" s="2"/>
      <c r="AB94" s="1" t="s">
        <v>20</v>
      </c>
      <c r="AC94" s="2"/>
      <c r="AD94" s="2"/>
      <c r="AE94" s="1" t="s">
        <v>21</v>
      </c>
      <c r="AF94" s="2"/>
      <c r="AG94" s="2"/>
      <c r="AH94" s="2"/>
      <c r="AI94" s="2"/>
      <c r="AJ94" s="2"/>
      <c r="AK94" s="2"/>
    </row>
    <row r="95" spans="1:38" x14ac:dyDescent="0.45">
      <c r="A95" s="1" t="s">
        <v>138</v>
      </c>
      <c r="B95" s="2"/>
      <c r="AA95" s="26" t="s">
        <v>19</v>
      </c>
      <c r="AB95" s="158">
        <v>16</v>
      </c>
      <c r="AC95" s="158">
        <v>21</v>
      </c>
      <c r="AD95" s="158">
        <v>26</v>
      </c>
      <c r="AE95" s="158">
        <v>1</v>
      </c>
      <c r="AF95" s="158">
        <v>6</v>
      </c>
      <c r="AG95" s="158">
        <v>11</v>
      </c>
      <c r="AH95" s="158">
        <v>16</v>
      </c>
      <c r="AI95" s="158">
        <v>21</v>
      </c>
      <c r="AJ95" s="158">
        <v>26</v>
      </c>
      <c r="AK95" s="8" t="s">
        <v>144</v>
      </c>
    </row>
    <row r="96" spans="1:38" x14ac:dyDescent="0.45">
      <c r="A96" s="2"/>
      <c r="B96" s="2"/>
      <c r="AA96" s="162" t="s">
        <v>1</v>
      </c>
      <c r="AB96" s="86"/>
      <c r="AC96" s="86"/>
      <c r="AD96" s="86"/>
      <c r="AE96" s="86"/>
      <c r="AF96" s="86"/>
      <c r="AG96" s="86">
        <v>7</v>
      </c>
      <c r="AH96" s="86">
        <v>3</v>
      </c>
      <c r="AI96" s="86"/>
      <c r="AJ96" s="86"/>
      <c r="AK96" s="86">
        <f>SUM(AB96:AJ96)</f>
        <v>10</v>
      </c>
    </row>
    <row r="97" spans="1:37" x14ac:dyDescent="0.45">
      <c r="A97" s="2"/>
      <c r="B97" s="1" t="s">
        <v>20</v>
      </c>
      <c r="C97" s="2"/>
      <c r="D97" s="2"/>
      <c r="E97" s="1" t="s">
        <v>21</v>
      </c>
      <c r="F97" s="2"/>
      <c r="G97" s="2"/>
      <c r="H97" s="2"/>
      <c r="I97" s="2"/>
      <c r="J97" s="2"/>
      <c r="K97" s="2"/>
      <c r="AA97" s="90" t="s">
        <v>145</v>
      </c>
      <c r="AB97" s="86"/>
      <c r="AC97" s="86"/>
      <c r="AD97" s="86"/>
      <c r="AE97" s="86"/>
      <c r="AF97" s="86"/>
      <c r="AG97" s="86"/>
      <c r="AH97" s="86"/>
      <c r="AI97" s="86"/>
      <c r="AJ97" s="86"/>
      <c r="AK97" s="86">
        <f t="shared" ref="AK97:AK128" si="17">SUM(AB97:AJ97)</f>
        <v>0</v>
      </c>
    </row>
    <row r="98" spans="1:37" x14ac:dyDescent="0.45">
      <c r="A98" s="26" t="s">
        <v>19</v>
      </c>
      <c r="B98" s="5">
        <v>16</v>
      </c>
      <c r="C98" s="5">
        <v>21</v>
      </c>
      <c r="D98" s="5">
        <v>26</v>
      </c>
      <c r="E98" s="5">
        <v>1</v>
      </c>
      <c r="F98" s="5">
        <v>6</v>
      </c>
      <c r="G98" s="5">
        <v>11</v>
      </c>
      <c r="H98" s="5">
        <v>16</v>
      </c>
      <c r="I98" s="5">
        <v>21</v>
      </c>
      <c r="J98" s="5">
        <v>26</v>
      </c>
      <c r="K98" s="7" t="s">
        <v>24</v>
      </c>
      <c r="AA98" s="90" t="s">
        <v>92</v>
      </c>
      <c r="AB98" s="86"/>
      <c r="AC98" s="86"/>
      <c r="AD98" s="86"/>
      <c r="AE98" s="86"/>
      <c r="AF98" s="86"/>
      <c r="AG98" s="86"/>
      <c r="AH98" s="86"/>
      <c r="AI98" s="86"/>
      <c r="AJ98" s="86"/>
      <c r="AK98" s="86">
        <f t="shared" si="17"/>
        <v>0</v>
      </c>
    </row>
    <row r="99" spans="1:37" x14ac:dyDescent="0.45">
      <c r="A99" s="3" t="s">
        <v>1</v>
      </c>
      <c r="B99" s="77">
        <v>0</v>
      </c>
      <c r="C99" s="77">
        <v>0</v>
      </c>
      <c r="D99" s="77">
        <v>0</v>
      </c>
      <c r="E99" s="77">
        <v>0</v>
      </c>
      <c r="F99" s="77">
        <v>2</v>
      </c>
      <c r="G99" s="77">
        <v>4</v>
      </c>
      <c r="H99" s="77">
        <v>11</v>
      </c>
      <c r="I99" s="77">
        <v>0</v>
      </c>
      <c r="J99" s="77">
        <v>0</v>
      </c>
      <c r="K99" s="77">
        <f t="shared" ref="K99:K133" si="18">SUM(B99:J99)</f>
        <v>17</v>
      </c>
      <c r="L99" s="77"/>
      <c r="AA99" s="90" t="s">
        <v>41</v>
      </c>
      <c r="AB99" s="86"/>
      <c r="AC99" s="86"/>
      <c r="AD99" s="86"/>
      <c r="AE99" s="86"/>
      <c r="AF99" s="86">
        <v>7</v>
      </c>
      <c r="AG99" s="86"/>
      <c r="AH99" s="86"/>
      <c r="AI99" s="86"/>
      <c r="AJ99" s="86"/>
      <c r="AK99" s="86">
        <f t="shared" si="17"/>
        <v>7</v>
      </c>
    </row>
    <row r="100" spans="1:37" x14ac:dyDescent="0.45">
      <c r="A100" s="83" t="s">
        <v>49</v>
      </c>
      <c r="B100" s="77">
        <v>0</v>
      </c>
      <c r="C100" s="77">
        <v>0</v>
      </c>
      <c r="D100" s="77">
        <v>0</v>
      </c>
      <c r="E100" s="77">
        <v>0</v>
      </c>
      <c r="F100" s="77">
        <v>0</v>
      </c>
      <c r="G100" s="77">
        <v>0</v>
      </c>
      <c r="H100" s="77">
        <v>0</v>
      </c>
      <c r="I100" s="77">
        <v>0</v>
      </c>
      <c r="J100" s="77">
        <v>0</v>
      </c>
      <c r="K100" s="77">
        <f t="shared" si="18"/>
        <v>0</v>
      </c>
      <c r="AA100" s="90" t="s">
        <v>2</v>
      </c>
      <c r="AB100" s="86"/>
      <c r="AC100" s="86">
        <v>4</v>
      </c>
      <c r="AD100" s="86">
        <v>6</v>
      </c>
      <c r="AE100" s="86">
        <v>20</v>
      </c>
      <c r="AF100" s="86">
        <v>4</v>
      </c>
      <c r="AG100" s="86"/>
      <c r="AH100" s="86">
        <v>3</v>
      </c>
      <c r="AI100" s="86">
        <v>3</v>
      </c>
      <c r="AJ100" s="86"/>
      <c r="AK100" s="86">
        <f t="shared" si="17"/>
        <v>40</v>
      </c>
    </row>
    <row r="101" spans="1:37" x14ac:dyDescent="0.45">
      <c r="A101" s="83" t="s">
        <v>45</v>
      </c>
      <c r="B101" s="77">
        <v>0</v>
      </c>
      <c r="C101" s="77">
        <v>0</v>
      </c>
      <c r="D101" s="77">
        <v>0</v>
      </c>
      <c r="E101" s="77">
        <v>0</v>
      </c>
      <c r="F101" s="77">
        <v>0</v>
      </c>
      <c r="G101" s="77">
        <v>0</v>
      </c>
      <c r="H101" s="77">
        <v>0</v>
      </c>
      <c r="I101" s="77">
        <v>2</v>
      </c>
      <c r="J101" s="77">
        <v>0</v>
      </c>
      <c r="K101" s="77">
        <f t="shared" si="18"/>
        <v>2</v>
      </c>
      <c r="L101" s="77"/>
      <c r="AA101" s="90" t="s">
        <v>43</v>
      </c>
      <c r="AB101" s="86"/>
      <c r="AC101" s="86"/>
      <c r="AD101" s="86"/>
      <c r="AE101" s="86"/>
      <c r="AF101" s="86"/>
      <c r="AG101" s="86"/>
      <c r="AH101" s="86"/>
      <c r="AI101" s="86"/>
      <c r="AJ101" s="86"/>
      <c r="AK101" s="86">
        <f t="shared" si="17"/>
        <v>0</v>
      </c>
    </row>
    <row r="102" spans="1:37" x14ac:dyDescent="0.45">
      <c r="A102" s="83" t="s">
        <v>41</v>
      </c>
      <c r="B102" s="77">
        <v>0</v>
      </c>
      <c r="C102" s="77">
        <v>0</v>
      </c>
      <c r="D102" s="77">
        <v>0</v>
      </c>
      <c r="E102" s="77">
        <v>4</v>
      </c>
      <c r="F102" s="77">
        <v>3</v>
      </c>
      <c r="G102" s="77">
        <v>0</v>
      </c>
      <c r="H102" s="77">
        <v>0</v>
      </c>
      <c r="I102" s="77">
        <v>1</v>
      </c>
      <c r="J102" s="77">
        <v>0</v>
      </c>
      <c r="K102" s="77">
        <f t="shared" si="18"/>
        <v>8</v>
      </c>
      <c r="L102" s="77"/>
      <c r="AA102" s="90" t="s">
        <v>3</v>
      </c>
      <c r="AB102" s="86">
        <v>1</v>
      </c>
      <c r="AC102" s="86"/>
      <c r="AD102" s="86">
        <v>7</v>
      </c>
      <c r="AE102" s="86">
        <v>1</v>
      </c>
      <c r="AF102" s="86">
        <v>1</v>
      </c>
      <c r="AG102" s="86">
        <v>1</v>
      </c>
      <c r="AH102" s="86">
        <v>2</v>
      </c>
      <c r="AI102" s="86">
        <v>3</v>
      </c>
      <c r="AJ102" s="86">
        <v>1</v>
      </c>
      <c r="AK102" s="86">
        <f t="shared" si="17"/>
        <v>17</v>
      </c>
    </row>
    <row r="103" spans="1:37" x14ac:dyDescent="0.45">
      <c r="A103" s="3" t="s">
        <v>2</v>
      </c>
      <c r="B103" s="77">
        <v>0</v>
      </c>
      <c r="C103" s="77">
        <v>9</v>
      </c>
      <c r="D103" s="77">
        <v>4</v>
      </c>
      <c r="E103" s="77">
        <v>19</v>
      </c>
      <c r="F103" s="19">
        <v>6</v>
      </c>
      <c r="G103" s="19">
        <v>1</v>
      </c>
      <c r="H103" s="19">
        <v>1</v>
      </c>
      <c r="I103" s="77">
        <v>0</v>
      </c>
      <c r="J103" s="77">
        <v>0</v>
      </c>
      <c r="K103" s="77">
        <f t="shared" si="18"/>
        <v>40</v>
      </c>
      <c r="L103" s="77"/>
      <c r="AA103" s="90" t="s">
        <v>4</v>
      </c>
      <c r="AB103" s="86"/>
      <c r="AC103" s="86"/>
      <c r="AD103" s="86"/>
      <c r="AE103" s="86"/>
      <c r="AF103" s="86"/>
      <c r="AG103" s="86">
        <v>2</v>
      </c>
      <c r="AH103" s="86">
        <v>2</v>
      </c>
      <c r="AI103" s="86"/>
      <c r="AJ103" s="86">
        <v>2</v>
      </c>
      <c r="AK103" s="86">
        <f t="shared" si="17"/>
        <v>6</v>
      </c>
    </row>
    <row r="104" spans="1:37" x14ac:dyDescent="0.45">
      <c r="A104" s="83" t="s">
        <v>43</v>
      </c>
      <c r="B104" s="77">
        <v>0</v>
      </c>
      <c r="C104" s="77">
        <v>0</v>
      </c>
      <c r="D104" s="77">
        <v>0</v>
      </c>
      <c r="E104" s="77">
        <v>0</v>
      </c>
      <c r="F104" s="77">
        <v>0</v>
      </c>
      <c r="G104" s="77">
        <v>0</v>
      </c>
      <c r="H104" s="77">
        <v>0</v>
      </c>
      <c r="I104" s="77">
        <v>0</v>
      </c>
      <c r="J104" s="77">
        <v>0</v>
      </c>
      <c r="K104" s="77">
        <f t="shared" si="18"/>
        <v>0</v>
      </c>
      <c r="AA104" s="90" t="s">
        <v>48</v>
      </c>
      <c r="AB104" s="86"/>
      <c r="AC104" s="86"/>
      <c r="AD104" s="86"/>
      <c r="AE104" s="86"/>
      <c r="AF104" s="86"/>
      <c r="AG104" s="86"/>
      <c r="AH104" s="86"/>
      <c r="AI104" s="86"/>
      <c r="AJ104" s="86"/>
      <c r="AK104" s="86">
        <f t="shared" si="17"/>
        <v>0</v>
      </c>
    </row>
    <row r="105" spans="1:37" x14ac:dyDescent="0.45">
      <c r="A105" s="3" t="s">
        <v>3</v>
      </c>
      <c r="B105" s="77">
        <v>1</v>
      </c>
      <c r="C105" s="77">
        <v>8</v>
      </c>
      <c r="D105" s="77">
        <v>3</v>
      </c>
      <c r="E105" s="77">
        <v>9</v>
      </c>
      <c r="F105" s="77">
        <v>10</v>
      </c>
      <c r="G105" s="77">
        <v>2</v>
      </c>
      <c r="H105" s="77">
        <v>3</v>
      </c>
      <c r="I105" s="77">
        <v>4</v>
      </c>
      <c r="J105" s="77">
        <v>2</v>
      </c>
      <c r="K105" s="77">
        <f t="shared" si="18"/>
        <v>42</v>
      </c>
      <c r="L105" s="77"/>
      <c r="AA105" s="90" t="s">
        <v>6</v>
      </c>
      <c r="AB105" s="86"/>
      <c r="AC105" s="86"/>
      <c r="AD105" s="86"/>
      <c r="AE105" s="86"/>
      <c r="AF105" s="86"/>
      <c r="AG105" s="86"/>
      <c r="AH105" s="86"/>
      <c r="AI105" s="86"/>
      <c r="AJ105" s="86"/>
      <c r="AK105" s="86">
        <f t="shared" si="17"/>
        <v>0</v>
      </c>
    </row>
    <row r="106" spans="1:37" x14ac:dyDescent="0.45">
      <c r="A106" s="3" t="s">
        <v>4</v>
      </c>
      <c r="B106" s="77">
        <v>0</v>
      </c>
      <c r="C106" s="77">
        <v>0</v>
      </c>
      <c r="D106" s="77">
        <v>0</v>
      </c>
      <c r="E106" s="77">
        <v>0</v>
      </c>
      <c r="F106" s="77">
        <v>0</v>
      </c>
      <c r="G106" s="77">
        <v>0</v>
      </c>
      <c r="H106" s="77">
        <v>0</v>
      </c>
      <c r="I106" s="77">
        <v>2</v>
      </c>
      <c r="J106" s="77">
        <v>0</v>
      </c>
      <c r="K106" s="77">
        <f t="shared" si="18"/>
        <v>2</v>
      </c>
      <c r="L106" s="77"/>
      <c r="AA106" s="90" t="s">
        <v>7</v>
      </c>
      <c r="AB106" s="86"/>
      <c r="AC106" s="86"/>
      <c r="AD106" s="86"/>
      <c r="AE106" s="86"/>
      <c r="AF106" s="86">
        <v>2</v>
      </c>
      <c r="AG106" s="86"/>
      <c r="AH106" s="86">
        <v>3</v>
      </c>
      <c r="AI106" s="86"/>
      <c r="AJ106" s="86">
        <v>3</v>
      </c>
      <c r="AK106" s="86">
        <f t="shared" si="17"/>
        <v>8</v>
      </c>
    </row>
    <row r="107" spans="1:37" x14ac:dyDescent="0.45">
      <c r="A107" s="83" t="s">
        <v>48</v>
      </c>
      <c r="B107" s="77">
        <v>0</v>
      </c>
      <c r="C107" s="77">
        <v>0</v>
      </c>
      <c r="D107" s="77">
        <v>0</v>
      </c>
      <c r="E107" s="77">
        <v>0</v>
      </c>
      <c r="F107" s="77">
        <v>0</v>
      </c>
      <c r="G107" s="77">
        <v>0</v>
      </c>
      <c r="H107" s="77">
        <v>0</v>
      </c>
      <c r="I107" s="77">
        <v>0</v>
      </c>
      <c r="J107" s="77">
        <v>0</v>
      </c>
      <c r="K107" s="77">
        <f t="shared" si="18"/>
        <v>0</v>
      </c>
      <c r="AA107" s="90" t="s">
        <v>50</v>
      </c>
      <c r="AB107" s="86"/>
      <c r="AC107" s="86"/>
      <c r="AD107" s="86"/>
      <c r="AE107" s="86"/>
      <c r="AF107" s="86"/>
      <c r="AG107" s="86"/>
      <c r="AH107" s="86"/>
      <c r="AI107" s="86"/>
      <c r="AJ107" s="86"/>
      <c r="AK107" s="86">
        <f t="shared" si="17"/>
        <v>0</v>
      </c>
    </row>
    <row r="108" spans="1:37" x14ac:dyDescent="0.45">
      <c r="A108" s="3" t="s">
        <v>6</v>
      </c>
      <c r="B108" s="77">
        <v>0</v>
      </c>
      <c r="C108" s="77">
        <v>0</v>
      </c>
      <c r="D108" s="77">
        <v>0</v>
      </c>
      <c r="E108" s="77">
        <v>0</v>
      </c>
      <c r="F108" s="77">
        <v>1</v>
      </c>
      <c r="G108" s="77">
        <v>0</v>
      </c>
      <c r="H108" s="77">
        <v>0</v>
      </c>
      <c r="I108" s="77">
        <v>2</v>
      </c>
      <c r="J108" s="77">
        <v>3</v>
      </c>
      <c r="K108" s="77">
        <f t="shared" si="18"/>
        <v>6</v>
      </c>
      <c r="L108" s="77"/>
      <c r="AA108" s="90" t="s">
        <v>51</v>
      </c>
      <c r="AB108" s="86"/>
      <c r="AC108" s="86"/>
      <c r="AD108" s="86"/>
      <c r="AE108" s="86"/>
      <c r="AF108" s="86">
        <v>4</v>
      </c>
      <c r="AG108" s="86">
        <v>5</v>
      </c>
      <c r="AH108" s="86">
        <v>3</v>
      </c>
      <c r="AI108" s="86"/>
      <c r="AJ108" s="86"/>
      <c r="AK108" s="86">
        <f t="shared" si="17"/>
        <v>12</v>
      </c>
    </row>
    <row r="109" spans="1:37" x14ac:dyDescent="0.45">
      <c r="A109" s="3" t="s">
        <v>7</v>
      </c>
      <c r="B109" s="77">
        <v>0</v>
      </c>
      <c r="C109" s="77">
        <v>0</v>
      </c>
      <c r="D109" s="77">
        <v>0</v>
      </c>
      <c r="E109" s="77">
        <v>0</v>
      </c>
      <c r="F109" s="77">
        <v>0</v>
      </c>
      <c r="G109" s="77">
        <v>0</v>
      </c>
      <c r="H109" s="77">
        <v>0</v>
      </c>
      <c r="I109" s="77">
        <v>2</v>
      </c>
      <c r="J109" s="77">
        <v>0</v>
      </c>
      <c r="K109" s="77">
        <f t="shared" si="18"/>
        <v>2</v>
      </c>
      <c r="L109" s="77"/>
      <c r="AA109" s="90" t="s">
        <v>42</v>
      </c>
      <c r="AB109" s="86"/>
      <c r="AC109" s="86"/>
      <c r="AD109" s="86"/>
      <c r="AE109" s="86"/>
      <c r="AF109" s="86"/>
      <c r="AG109" s="86"/>
      <c r="AH109" s="86"/>
      <c r="AI109" s="86"/>
      <c r="AJ109" s="86"/>
      <c r="AK109" s="86">
        <f t="shared" si="17"/>
        <v>0</v>
      </c>
    </row>
    <row r="110" spans="1:37" x14ac:dyDescent="0.45">
      <c r="A110" s="101" t="s">
        <v>83</v>
      </c>
      <c r="B110" s="77">
        <v>0</v>
      </c>
      <c r="C110" s="77">
        <v>0</v>
      </c>
      <c r="D110" s="77">
        <v>0</v>
      </c>
      <c r="E110" s="77">
        <v>0</v>
      </c>
      <c r="F110" s="77">
        <v>0</v>
      </c>
      <c r="G110" s="77">
        <v>0</v>
      </c>
      <c r="H110" s="77">
        <v>0</v>
      </c>
      <c r="I110" s="77">
        <v>0</v>
      </c>
      <c r="J110" s="77">
        <v>0</v>
      </c>
      <c r="K110" s="77"/>
      <c r="AA110" s="90" t="s">
        <v>8</v>
      </c>
      <c r="AB110" s="86"/>
      <c r="AC110" s="86"/>
      <c r="AD110" s="86"/>
      <c r="AE110" s="86"/>
      <c r="AF110" s="86"/>
      <c r="AG110" s="86"/>
      <c r="AH110" s="86"/>
      <c r="AI110" s="86"/>
      <c r="AJ110" s="86"/>
      <c r="AK110" s="86">
        <f t="shared" si="17"/>
        <v>0</v>
      </c>
    </row>
    <row r="111" spans="1:37" x14ac:dyDescent="0.45">
      <c r="A111" s="83" t="s">
        <v>50</v>
      </c>
      <c r="B111" s="77">
        <v>0</v>
      </c>
      <c r="C111" s="77">
        <v>0</v>
      </c>
      <c r="D111" s="77">
        <v>0</v>
      </c>
      <c r="E111" s="77">
        <v>0</v>
      </c>
      <c r="F111" s="77">
        <v>0</v>
      </c>
      <c r="G111" s="77">
        <v>0</v>
      </c>
      <c r="H111" s="77">
        <v>0</v>
      </c>
      <c r="I111" s="77">
        <v>0</v>
      </c>
      <c r="J111" s="77">
        <v>0</v>
      </c>
      <c r="K111" s="77">
        <f t="shared" si="18"/>
        <v>0</v>
      </c>
      <c r="AA111" s="90" t="s">
        <v>9</v>
      </c>
      <c r="AB111" s="86"/>
      <c r="AC111" s="86"/>
      <c r="AD111" s="86"/>
      <c r="AE111" s="86"/>
      <c r="AF111" s="86"/>
      <c r="AG111" s="86"/>
      <c r="AH111" s="86"/>
      <c r="AI111" s="86"/>
      <c r="AJ111" s="86"/>
      <c r="AK111" s="86">
        <f t="shared" si="17"/>
        <v>0</v>
      </c>
    </row>
    <row r="112" spans="1:37" x14ac:dyDescent="0.45">
      <c r="A112" s="83" t="s">
        <v>51</v>
      </c>
      <c r="B112" s="77">
        <v>0</v>
      </c>
      <c r="C112" s="77">
        <v>0</v>
      </c>
      <c r="D112" s="77">
        <v>0</v>
      </c>
      <c r="E112" s="77">
        <v>0</v>
      </c>
      <c r="F112" s="77">
        <v>0</v>
      </c>
      <c r="G112" s="77">
        <v>0</v>
      </c>
      <c r="H112" s="77">
        <v>0</v>
      </c>
      <c r="I112" s="77">
        <v>0</v>
      </c>
      <c r="J112" s="77">
        <v>0</v>
      </c>
      <c r="K112" s="77">
        <f t="shared" si="18"/>
        <v>0</v>
      </c>
      <c r="AA112" s="90" t="s">
        <v>44</v>
      </c>
      <c r="AB112" s="86"/>
      <c r="AC112" s="86"/>
      <c r="AD112" s="86"/>
      <c r="AE112" s="86"/>
      <c r="AF112" s="86"/>
      <c r="AG112" s="86"/>
      <c r="AH112" s="86"/>
      <c r="AI112" s="86"/>
      <c r="AJ112" s="86"/>
      <c r="AK112" s="86">
        <f t="shared" si="17"/>
        <v>0</v>
      </c>
    </row>
    <row r="113" spans="1:37" x14ac:dyDescent="0.45">
      <c r="A113" s="83" t="s">
        <v>42</v>
      </c>
      <c r="B113" s="77">
        <v>0</v>
      </c>
      <c r="C113" s="77">
        <v>0</v>
      </c>
      <c r="D113" s="77">
        <v>0</v>
      </c>
      <c r="E113" s="77">
        <v>0</v>
      </c>
      <c r="F113" s="77">
        <v>0</v>
      </c>
      <c r="G113" s="77">
        <v>0</v>
      </c>
      <c r="H113" s="77">
        <v>0</v>
      </c>
      <c r="I113" s="77">
        <v>0</v>
      </c>
      <c r="J113" s="77">
        <v>0</v>
      </c>
      <c r="K113" s="77">
        <f t="shared" si="18"/>
        <v>0</v>
      </c>
      <c r="AA113" s="90" t="s">
        <v>10</v>
      </c>
      <c r="AB113" s="86"/>
      <c r="AC113" s="86"/>
      <c r="AD113" s="86"/>
      <c r="AE113" s="86"/>
      <c r="AF113" s="86"/>
      <c r="AG113" s="86"/>
      <c r="AH113" s="86"/>
      <c r="AI113" s="86"/>
      <c r="AJ113" s="86"/>
      <c r="AK113" s="86">
        <f t="shared" si="17"/>
        <v>0</v>
      </c>
    </row>
    <row r="114" spans="1:37" x14ac:dyDescent="0.45">
      <c r="A114" s="3" t="s">
        <v>8</v>
      </c>
      <c r="B114" s="77">
        <v>0</v>
      </c>
      <c r="C114" s="77">
        <v>0</v>
      </c>
      <c r="D114" s="77">
        <v>0</v>
      </c>
      <c r="E114" s="77">
        <v>0</v>
      </c>
      <c r="F114" s="77">
        <v>0</v>
      </c>
      <c r="G114" s="77">
        <v>0</v>
      </c>
      <c r="H114" s="77">
        <v>0</v>
      </c>
      <c r="I114" s="77">
        <v>2</v>
      </c>
      <c r="J114" s="77">
        <v>3</v>
      </c>
      <c r="K114" s="77">
        <f t="shared" si="18"/>
        <v>5</v>
      </c>
      <c r="L114" s="77"/>
      <c r="AA114" s="90" t="s">
        <v>11</v>
      </c>
      <c r="AB114" s="86"/>
      <c r="AC114" s="86"/>
      <c r="AD114" s="86"/>
      <c r="AE114" s="86">
        <v>32</v>
      </c>
      <c r="AF114" s="86">
        <v>300</v>
      </c>
      <c r="AG114" s="86">
        <v>1800</v>
      </c>
      <c r="AH114" s="86">
        <v>1100</v>
      </c>
      <c r="AI114" s="86">
        <v>1400</v>
      </c>
      <c r="AJ114" s="86">
        <v>2</v>
      </c>
      <c r="AK114" s="86">
        <f t="shared" si="17"/>
        <v>4634</v>
      </c>
    </row>
    <row r="115" spans="1:37" x14ac:dyDescent="0.45">
      <c r="A115" s="3" t="s">
        <v>9</v>
      </c>
      <c r="B115" s="77">
        <v>0</v>
      </c>
      <c r="C115" s="77">
        <v>0</v>
      </c>
      <c r="D115" s="77">
        <v>0</v>
      </c>
      <c r="E115" s="77">
        <v>0</v>
      </c>
      <c r="F115" s="77">
        <v>0</v>
      </c>
      <c r="G115" s="77">
        <v>1</v>
      </c>
      <c r="H115" s="77">
        <v>0</v>
      </c>
      <c r="I115" s="77">
        <v>0</v>
      </c>
      <c r="J115" s="77">
        <v>0</v>
      </c>
      <c r="K115" s="77">
        <f t="shared" si="18"/>
        <v>1</v>
      </c>
      <c r="L115" s="77"/>
      <c r="AA115" s="90" t="s">
        <v>12</v>
      </c>
      <c r="AB115" s="86"/>
      <c r="AC115" s="86"/>
      <c r="AD115" s="86"/>
      <c r="AE115" s="86"/>
      <c r="AF115" s="86"/>
      <c r="AG115" s="86"/>
      <c r="AH115" s="86"/>
      <c r="AI115" s="86"/>
      <c r="AJ115" s="86"/>
      <c r="AK115" s="86">
        <f t="shared" si="17"/>
        <v>0</v>
      </c>
    </row>
    <row r="116" spans="1:37" x14ac:dyDescent="0.45">
      <c r="A116" s="83" t="s">
        <v>44</v>
      </c>
      <c r="B116" s="77">
        <v>0</v>
      </c>
      <c r="C116" s="77">
        <v>0</v>
      </c>
      <c r="D116" s="77">
        <v>0</v>
      </c>
      <c r="E116" s="77">
        <v>0</v>
      </c>
      <c r="F116" s="77">
        <v>0</v>
      </c>
      <c r="G116" s="77">
        <v>0</v>
      </c>
      <c r="H116" s="77">
        <v>0</v>
      </c>
      <c r="I116" s="77">
        <v>0</v>
      </c>
      <c r="J116" s="77">
        <v>0</v>
      </c>
      <c r="K116" s="77">
        <f t="shared" si="18"/>
        <v>0</v>
      </c>
      <c r="AA116" s="90" t="s">
        <v>32</v>
      </c>
      <c r="AB116" s="86"/>
      <c r="AC116" s="86"/>
      <c r="AD116" s="86"/>
      <c r="AE116" s="86"/>
      <c r="AF116" s="86"/>
      <c r="AG116" s="86"/>
      <c r="AH116" s="86"/>
      <c r="AI116" s="86">
        <v>1</v>
      </c>
      <c r="AJ116" s="86"/>
      <c r="AK116" s="86">
        <f t="shared" si="17"/>
        <v>1</v>
      </c>
    </row>
    <row r="117" spans="1:37" x14ac:dyDescent="0.45">
      <c r="A117" s="3" t="s">
        <v>10</v>
      </c>
      <c r="B117" s="77">
        <v>0</v>
      </c>
      <c r="C117" s="77">
        <v>0</v>
      </c>
      <c r="D117" s="77">
        <v>0</v>
      </c>
      <c r="E117" s="77">
        <v>0</v>
      </c>
      <c r="F117" s="77">
        <v>0</v>
      </c>
      <c r="G117" s="77">
        <v>0</v>
      </c>
      <c r="H117" s="77">
        <v>0</v>
      </c>
      <c r="I117" s="77">
        <v>0</v>
      </c>
      <c r="J117" s="77">
        <v>0</v>
      </c>
      <c r="K117" s="77">
        <f t="shared" si="18"/>
        <v>0</v>
      </c>
      <c r="AA117" s="90" t="s">
        <v>146</v>
      </c>
      <c r="AB117" s="86"/>
      <c r="AC117" s="86"/>
      <c r="AD117" s="86"/>
      <c r="AE117" s="86"/>
      <c r="AF117" s="86"/>
      <c r="AG117" s="86"/>
      <c r="AH117" s="86"/>
      <c r="AI117" s="86"/>
      <c r="AJ117" s="86"/>
      <c r="AK117" s="86">
        <f t="shared" si="17"/>
        <v>0</v>
      </c>
    </row>
    <row r="118" spans="1:37" x14ac:dyDescent="0.45">
      <c r="A118" s="3" t="s">
        <v>11</v>
      </c>
      <c r="B118" s="77">
        <v>0</v>
      </c>
      <c r="C118" s="77">
        <v>0</v>
      </c>
      <c r="D118" s="77">
        <v>0</v>
      </c>
      <c r="E118" s="77">
        <v>0</v>
      </c>
      <c r="F118" s="77">
        <v>16</v>
      </c>
      <c r="G118" s="77">
        <v>169</v>
      </c>
      <c r="H118" s="77">
        <v>19</v>
      </c>
      <c r="I118" s="77">
        <v>0</v>
      </c>
      <c r="J118" s="77">
        <v>0</v>
      </c>
      <c r="K118" s="77">
        <f t="shared" si="18"/>
        <v>204</v>
      </c>
      <c r="L118" s="77"/>
      <c r="AA118" s="90" t="s">
        <v>46</v>
      </c>
      <c r="AB118" s="86"/>
      <c r="AC118" s="86"/>
      <c r="AD118" s="86"/>
      <c r="AE118" s="86"/>
      <c r="AF118" s="86"/>
      <c r="AG118" s="86"/>
      <c r="AH118" s="86"/>
      <c r="AI118" s="86"/>
      <c r="AJ118" s="86">
        <v>1</v>
      </c>
      <c r="AK118" s="86">
        <f t="shared" si="17"/>
        <v>1</v>
      </c>
    </row>
    <row r="119" spans="1:37" x14ac:dyDescent="0.45">
      <c r="A119" s="3" t="s">
        <v>12</v>
      </c>
      <c r="B119" s="77">
        <v>0</v>
      </c>
      <c r="C119" s="77">
        <v>0</v>
      </c>
      <c r="D119" s="77">
        <v>0</v>
      </c>
      <c r="E119" s="77">
        <v>0</v>
      </c>
      <c r="F119" s="77">
        <v>9</v>
      </c>
      <c r="G119" s="77">
        <v>5</v>
      </c>
      <c r="H119" s="77">
        <v>10</v>
      </c>
      <c r="I119" s="77">
        <v>0</v>
      </c>
      <c r="J119" s="77">
        <v>0</v>
      </c>
      <c r="K119" s="77">
        <f t="shared" si="18"/>
        <v>24</v>
      </c>
      <c r="L119" s="77"/>
      <c r="AA119" s="90" t="s">
        <v>13</v>
      </c>
      <c r="AB119" s="86"/>
      <c r="AC119" s="86"/>
      <c r="AD119" s="86"/>
      <c r="AE119" s="86"/>
      <c r="AF119" s="86"/>
      <c r="AG119" s="86"/>
      <c r="AH119" s="86">
        <v>2</v>
      </c>
      <c r="AI119" s="86"/>
      <c r="AJ119" s="86"/>
      <c r="AK119" s="86">
        <f t="shared" si="17"/>
        <v>2</v>
      </c>
    </row>
    <row r="120" spans="1:37" x14ac:dyDescent="0.45">
      <c r="A120" s="83" t="s">
        <v>32</v>
      </c>
      <c r="B120" s="77">
        <v>0</v>
      </c>
      <c r="C120" s="77">
        <v>0</v>
      </c>
      <c r="D120" s="77">
        <v>0</v>
      </c>
      <c r="E120" s="77">
        <v>0</v>
      </c>
      <c r="F120" s="77">
        <v>0</v>
      </c>
      <c r="G120" s="77">
        <v>2</v>
      </c>
      <c r="H120" s="77">
        <v>1</v>
      </c>
      <c r="I120" s="77">
        <v>0</v>
      </c>
      <c r="J120" s="77">
        <v>0</v>
      </c>
      <c r="K120" s="77">
        <f t="shared" si="18"/>
        <v>3</v>
      </c>
      <c r="L120" s="77"/>
      <c r="AA120" s="90" t="s">
        <v>14</v>
      </c>
      <c r="AB120" s="86"/>
      <c r="AC120" s="86">
        <v>1</v>
      </c>
      <c r="AD120" s="86">
        <v>2</v>
      </c>
      <c r="AE120" s="86">
        <v>18</v>
      </c>
      <c r="AF120" s="86">
        <v>8</v>
      </c>
      <c r="AG120" s="86">
        <v>200</v>
      </c>
      <c r="AH120" s="86">
        <v>100</v>
      </c>
      <c r="AI120" s="86">
        <v>115</v>
      </c>
      <c r="AJ120" s="86">
        <v>15</v>
      </c>
      <c r="AK120" s="86">
        <f t="shared" si="17"/>
        <v>459</v>
      </c>
    </row>
    <row r="121" spans="1:37" x14ac:dyDescent="0.45">
      <c r="A121" s="3" t="s">
        <v>18</v>
      </c>
      <c r="B121" s="77">
        <v>0</v>
      </c>
      <c r="C121" s="77">
        <v>0</v>
      </c>
      <c r="D121" s="77">
        <v>1</v>
      </c>
      <c r="E121" s="77">
        <v>0</v>
      </c>
      <c r="F121" s="77">
        <v>3</v>
      </c>
      <c r="G121" s="77">
        <v>0</v>
      </c>
      <c r="H121" s="77">
        <v>10</v>
      </c>
      <c r="I121" s="77">
        <v>0</v>
      </c>
      <c r="J121" s="77">
        <v>0</v>
      </c>
      <c r="K121" s="77">
        <f t="shared" si="18"/>
        <v>14</v>
      </c>
      <c r="L121" s="77"/>
      <c r="AA121" s="90" t="s">
        <v>40</v>
      </c>
      <c r="AB121" s="86"/>
      <c r="AC121" s="86"/>
      <c r="AD121" s="86"/>
      <c r="AE121" s="86"/>
      <c r="AF121" s="86"/>
      <c r="AG121" s="86"/>
      <c r="AH121" s="86"/>
      <c r="AI121" s="86"/>
      <c r="AJ121" s="86"/>
      <c r="AK121" s="86">
        <f t="shared" si="17"/>
        <v>0</v>
      </c>
    </row>
    <row r="122" spans="1:37" x14ac:dyDescent="0.45">
      <c r="A122" s="83" t="s">
        <v>46</v>
      </c>
      <c r="B122" s="77">
        <v>0</v>
      </c>
      <c r="C122" s="77">
        <v>0</v>
      </c>
      <c r="D122" s="77">
        <v>0</v>
      </c>
      <c r="E122" s="77">
        <v>0</v>
      </c>
      <c r="F122" s="77">
        <v>0</v>
      </c>
      <c r="G122" s="77">
        <v>0</v>
      </c>
      <c r="H122" s="77">
        <v>0</v>
      </c>
      <c r="I122" s="77">
        <v>0</v>
      </c>
      <c r="J122" s="77">
        <v>0</v>
      </c>
      <c r="K122" s="77">
        <f t="shared" si="18"/>
        <v>0</v>
      </c>
      <c r="AA122" s="90" t="s">
        <v>52</v>
      </c>
      <c r="AB122" s="86"/>
      <c r="AC122" s="86"/>
      <c r="AD122" s="86"/>
      <c r="AE122" s="86"/>
      <c r="AF122" s="86"/>
      <c r="AG122" s="86"/>
      <c r="AH122" s="86"/>
      <c r="AI122" s="86"/>
      <c r="AJ122" s="86"/>
      <c r="AK122" s="86">
        <f t="shared" si="17"/>
        <v>0</v>
      </c>
    </row>
    <row r="123" spans="1:37" x14ac:dyDescent="0.45">
      <c r="A123" s="3" t="s">
        <v>13</v>
      </c>
      <c r="B123" s="77">
        <v>0</v>
      </c>
      <c r="C123" s="77">
        <v>0</v>
      </c>
      <c r="D123" s="77">
        <v>0</v>
      </c>
      <c r="E123" s="77">
        <v>0</v>
      </c>
      <c r="F123" s="77">
        <v>0</v>
      </c>
      <c r="G123" s="77">
        <v>0</v>
      </c>
      <c r="H123" s="77">
        <v>0</v>
      </c>
      <c r="I123" s="77">
        <v>0</v>
      </c>
      <c r="J123" s="77">
        <v>0</v>
      </c>
      <c r="K123" s="77">
        <f t="shared" si="18"/>
        <v>0</v>
      </c>
      <c r="AA123" s="90" t="s">
        <v>53</v>
      </c>
      <c r="AB123" s="86"/>
      <c r="AC123" s="86"/>
      <c r="AD123" s="86"/>
      <c r="AE123" s="86"/>
      <c r="AF123" s="86"/>
      <c r="AG123" s="86"/>
      <c r="AH123" s="86"/>
      <c r="AI123" s="86">
        <v>2</v>
      </c>
      <c r="AJ123" s="86"/>
      <c r="AK123" s="86">
        <f t="shared" si="17"/>
        <v>2</v>
      </c>
    </row>
    <row r="124" spans="1:37" x14ac:dyDescent="0.45">
      <c r="A124" s="3" t="s">
        <v>14</v>
      </c>
      <c r="B124" s="77">
        <v>0</v>
      </c>
      <c r="C124" s="77">
        <v>2</v>
      </c>
      <c r="D124" s="77">
        <v>0</v>
      </c>
      <c r="E124" s="77">
        <v>0</v>
      </c>
      <c r="F124" s="77">
        <v>2</v>
      </c>
      <c r="G124" s="19">
        <v>11</v>
      </c>
      <c r="H124" s="19">
        <v>9</v>
      </c>
      <c r="I124" s="19"/>
      <c r="J124" s="19"/>
      <c r="K124" s="77">
        <f t="shared" si="18"/>
        <v>24</v>
      </c>
      <c r="L124" s="77"/>
      <c r="AA124" s="90" t="s">
        <v>15</v>
      </c>
      <c r="AB124" s="86"/>
      <c r="AC124" s="86"/>
      <c r="AD124" s="86"/>
      <c r="AE124" s="86">
        <v>4</v>
      </c>
      <c r="AF124" s="86">
        <v>22</v>
      </c>
      <c r="AG124" s="86">
        <v>52</v>
      </c>
      <c r="AH124" s="86">
        <v>50</v>
      </c>
      <c r="AI124" s="86">
        <v>60</v>
      </c>
      <c r="AJ124" s="86">
        <v>7</v>
      </c>
      <c r="AK124" s="86">
        <f t="shared" si="17"/>
        <v>195</v>
      </c>
    </row>
    <row r="125" spans="1:37" x14ac:dyDescent="0.45">
      <c r="A125" s="83" t="s">
        <v>40</v>
      </c>
      <c r="B125" s="77">
        <v>0</v>
      </c>
      <c r="C125" s="77">
        <v>1</v>
      </c>
      <c r="D125" s="77">
        <v>0</v>
      </c>
      <c r="E125" s="77">
        <v>0</v>
      </c>
      <c r="F125" s="77">
        <v>0</v>
      </c>
      <c r="G125" s="77">
        <v>0</v>
      </c>
      <c r="H125" s="77">
        <v>0</v>
      </c>
      <c r="I125" s="77">
        <v>0</v>
      </c>
      <c r="J125" s="77">
        <v>0</v>
      </c>
      <c r="K125" s="77">
        <f t="shared" si="18"/>
        <v>1</v>
      </c>
      <c r="L125" s="77"/>
      <c r="AA125" s="90" t="s">
        <v>54</v>
      </c>
      <c r="AB125" s="86"/>
      <c r="AC125" s="86"/>
      <c r="AD125" s="86"/>
      <c r="AE125" s="86"/>
      <c r="AF125" s="86"/>
      <c r="AG125" s="86"/>
      <c r="AH125" s="86"/>
      <c r="AI125" s="86"/>
      <c r="AJ125" s="86"/>
      <c r="AK125" s="86">
        <f t="shared" si="17"/>
        <v>0</v>
      </c>
    </row>
    <row r="126" spans="1:37" x14ac:dyDescent="0.45">
      <c r="A126" s="83" t="s">
        <v>52</v>
      </c>
      <c r="B126" s="77">
        <v>0</v>
      </c>
      <c r="C126" s="77">
        <v>0</v>
      </c>
      <c r="D126" s="77">
        <v>0</v>
      </c>
      <c r="E126" s="77">
        <v>0</v>
      </c>
      <c r="F126" s="77">
        <v>0</v>
      </c>
      <c r="G126" s="77">
        <v>0</v>
      </c>
      <c r="H126" s="77">
        <v>0</v>
      </c>
      <c r="I126" s="77">
        <v>0</v>
      </c>
      <c r="J126" s="77">
        <v>0</v>
      </c>
      <c r="K126" s="77">
        <f t="shared" si="18"/>
        <v>0</v>
      </c>
      <c r="L126" s="77"/>
      <c r="AA126" s="90" t="s">
        <v>47</v>
      </c>
      <c r="AB126" s="86"/>
      <c r="AC126" s="86"/>
      <c r="AD126" s="86"/>
      <c r="AE126" s="86"/>
      <c r="AF126" s="86"/>
      <c r="AG126" s="86"/>
      <c r="AH126" s="86"/>
      <c r="AI126" s="86"/>
      <c r="AJ126" s="86"/>
      <c r="AK126" s="86">
        <f t="shared" si="17"/>
        <v>0</v>
      </c>
    </row>
    <row r="127" spans="1:37" x14ac:dyDescent="0.45">
      <c r="A127" s="83" t="s">
        <v>53</v>
      </c>
      <c r="B127" s="77">
        <v>0</v>
      </c>
      <c r="C127" s="77">
        <v>0</v>
      </c>
      <c r="D127" s="77">
        <v>0</v>
      </c>
      <c r="E127" s="77">
        <v>0</v>
      </c>
      <c r="F127" s="77">
        <v>0</v>
      </c>
      <c r="G127" s="77">
        <v>0</v>
      </c>
      <c r="H127" s="77">
        <v>0</v>
      </c>
      <c r="I127" s="77">
        <v>0</v>
      </c>
      <c r="J127" s="77">
        <v>0</v>
      </c>
      <c r="K127" s="77">
        <f t="shared" si="18"/>
        <v>0</v>
      </c>
      <c r="AA127" s="90" t="s">
        <v>16</v>
      </c>
      <c r="AB127" s="86"/>
      <c r="AC127" s="86"/>
      <c r="AD127" s="86"/>
      <c r="AE127" s="86">
        <v>1</v>
      </c>
      <c r="AF127" s="86"/>
      <c r="AG127" s="86">
        <v>2</v>
      </c>
      <c r="AH127" s="86"/>
      <c r="AI127" s="86"/>
      <c r="AJ127" s="86">
        <v>1</v>
      </c>
      <c r="AK127" s="86">
        <f t="shared" si="17"/>
        <v>4</v>
      </c>
    </row>
    <row r="128" spans="1:37" x14ac:dyDescent="0.45">
      <c r="A128" s="3" t="s">
        <v>15</v>
      </c>
      <c r="B128" s="77">
        <v>0</v>
      </c>
      <c r="C128" s="77">
        <v>0</v>
      </c>
      <c r="D128" s="77">
        <v>0</v>
      </c>
      <c r="E128" s="77">
        <v>1</v>
      </c>
      <c r="F128" s="77">
        <v>1</v>
      </c>
      <c r="G128" s="77">
        <v>2</v>
      </c>
      <c r="H128" s="77">
        <v>0</v>
      </c>
      <c r="I128" s="77">
        <v>1</v>
      </c>
      <c r="J128" s="77"/>
      <c r="K128" s="77">
        <f t="shared" si="18"/>
        <v>5</v>
      </c>
      <c r="L128" s="77"/>
      <c r="AA128" s="34" t="s">
        <v>17</v>
      </c>
      <c r="AB128" s="99"/>
      <c r="AC128" s="99"/>
      <c r="AD128" s="99"/>
      <c r="AE128" s="99"/>
      <c r="AF128" s="99"/>
      <c r="AG128" s="99"/>
      <c r="AH128" s="99"/>
      <c r="AI128" s="99"/>
      <c r="AJ128" s="99"/>
      <c r="AK128" s="99">
        <f t="shared" si="17"/>
        <v>0</v>
      </c>
    </row>
    <row r="129" spans="1:39" x14ac:dyDescent="0.45">
      <c r="A129" s="83" t="s">
        <v>54</v>
      </c>
      <c r="B129" s="77">
        <v>0</v>
      </c>
      <c r="C129" s="77">
        <v>0</v>
      </c>
      <c r="D129" s="77">
        <v>0</v>
      </c>
      <c r="E129" s="77">
        <v>0</v>
      </c>
      <c r="F129" s="77">
        <v>0</v>
      </c>
      <c r="G129" s="77">
        <v>1</v>
      </c>
      <c r="H129" s="77">
        <v>0</v>
      </c>
      <c r="I129" s="77">
        <v>2</v>
      </c>
      <c r="J129" s="77">
        <v>0</v>
      </c>
      <c r="K129" s="77">
        <f t="shared" si="18"/>
        <v>3</v>
      </c>
      <c r="L129" s="77"/>
      <c r="AA129" s="95" t="s">
        <v>144</v>
      </c>
      <c r="AB129" s="86">
        <f>SUM(AB96:AB128)</f>
        <v>1</v>
      </c>
      <c r="AC129" s="86">
        <f t="shared" ref="AC129:AK129" si="19">SUM(AC96:AC128)</f>
        <v>5</v>
      </c>
      <c r="AD129" s="86">
        <f t="shared" si="19"/>
        <v>15</v>
      </c>
      <c r="AE129" s="86">
        <f t="shared" si="19"/>
        <v>76</v>
      </c>
      <c r="AF129" s="86">
        <f t="shared" si="19"/>
        <v>348</v>
      </c>
      <c r="AG129" s="86">
        <f t="shared" si="19"/>
        <v>2069</v>
      </c>
      <c r="AH129" s="86">
        <f t="shared" si="19"/>
        <v>1268</v>
      </c>
      <c r="AI129" s="86">
        <f t="shared" si="19"/>
        <v>1584</v>
      </c>
      <c r="AJ129" s="86">
        <f t="shared" si="19"/>
        <v>32</v>
      </c>
      <c r="AK129" s="86">
        <f t="shared" si="19"/>
        <v>5398</v>
      </c>
      <c r="AL129" s="17">
        <f>SUM(AB129:AJ129)</f>
        <v>5398</v>
      </c>
    </row>
    <row r="130" spans="1:39" x14ac:dyDescent="0.45">
      <c r="A130" s="83" t="s">
        <v>47</v>
      </c>
      <c r="B130" s="77">
        <v>0</v>
      </c>
      <c r="C130" s="77">
        <v>0</v>
      </c>
      <c r="D130" s="77">
        <v>0</v>
      </c>
      <c r="E130" s="77">
        <v>0</v>
      </c>
      <c r="F130" s="77">
        <v>0</v>
      </c>
      <c r="G130" s="77">
        <v>2</v>
      </c>
      <c r="H130" s="77">
        <v>1</v>
      </c>
      <c r="I130" s="77">
        <v>10</v>
      </c>
      <c r="J130" s="77">
        <v>2</v>
      </c>
      <c r="K130" s="77">
        <f t="shared" si="18"/>
        <v>15</v>
      </c>
      <c r="L130" s="77"/>
    </row>
    <row r="131" spans="1:39" x14ac:dyDescent="0.45">
      <c r="A131" s="3" t="s">
        <v>16</v>
      </c>
      <c r="B131" s="77">
        <v>0</v>
      </c>
      <c r="C131" s="77">
        <v>0</v>
      </c>
      <c r="D131" s="77">
        <v>0</v>
      </c>
      <c r="E131" s="77">
        <v>0</v>
      </c>
      <c r="F131" s="77">
        <v>0</v>
      </c>
      <c r="G131" s="77">
        <v>0</v>
      </c>
      <c r="H131" s="77">
        <v>0</v>
      </c>
      <c r="I131" s="77">
        <v>0</v>
      </c>
      <c r="J131" s="77">
        <v>0</v>
      </c>
      <c r="K131" s="77">
        <f t="shared" si="18"/>
        <v>0</v>
      </c>
    </row>
    <row r="132" spans="1:39" x14ac:dyDescent="0.45">
      <c r="A132" s="83" t="s">
        <v>55</v>
      </c>
      <c r="B132" s="77">
        <v>0</v>
      </c>
      <c r="C132" s="77">
        <v>0</v>
      </c>
      <c r="D132" s="77">
        <v>0</v>
      </c>
      <c r="E132" s="77">
        <v>0</v>
      </c>
      <c r="F132" s="77">
        <v>0</v>
      </c>
      <c r="G132" s="77">
        <v>0</v>
      </c>
      <c r="H132" s="77">
        <v>0</v>
      </c>
      <c r="I132" s="77">
        <v>0</v>
      </c>
      <c r="J132" s="77">
        <v>0</v>
      </c>
      <c r="K132" s="77">
        <f t="shared" si="18"/>
        <v>0</v>
      </c>
      <c r="AA132" s="1" t="s">
        <v>178</v>
      </c>
    </row>
    <row r="133" spans="1:39" x14ac:dyDescent="0.45">
      <c r="A133" s="78" t="s">
        <v>17</v>
      </c>
      <c r="B133" s="77">
        <v>0</v>
      </c>
      <c r="C133" s="77">
        <v>0</v>
      </c>
      <c r="D133" s="77">
        <v>0</v>
      </c>
      <c r="E133" s="77">
        <v>0</v>
      </c>
      <c r="F133" s="77">
        <v>400</v>
      </c>
      <c r="G133" s="77">
        <v>0</v>
      </c>
      <c r="H133" s="77">
        <v>0</v>
      </c>
      <c r="I133" s="77">
        <v>0</v>
      </c>
      <c r="J133" s="77">
        <v>0</v>
      </c>
      <c r="K133" s="77">
        <f t="shared" si="18"/>
        <v>400</v>
      </c>
      <c r="AA133" s="1" t="s">
        <v>148</v>
      </c>
    </row>
    <row r="134" spans="1:39" x14ac:dyDescent="0.45">
      <c r="A134" s="11" t="s">
        <v>24</v>
      </c>
      <c r="B134" s="154">
        <f>SUM(B99:B133)</f>
        <v>1</v>
      </c>
      <c r="C134" s="151">
        <f t="shared" ref="C134:K134" si="20">SUM(C99:C133)</f>
        <v>20</v>
      </c>
      <c r="D134" s="151">
        <f t="shared" si="20"/>
        <v>8</v>
      </c>
      <c r="E134" s="151">
        <f t="shared" si="20"/>
        <v>33</v>
      </c>
      <c r="F134" s="151">
        <f t="shared" si="20"/>
        <v>453</v>
      </c>
      <c r="G134" s="151">
        <f t="shared" si="20"/>
        <v>200</v>
      </c>
      <c r="H134" s="151">
        <f t="shared" si="20"/>
        <v>65</v>
      </c>
      <c r="I134" s="151">
        <f t="shared" si="20"/>
        <v>28</v>
      </c>
      <c r="J134" s="151">
        <f t="shared" si="20"/>
        <v>10</v>
      </c>
      <c r="K134" s="151">
        <f t="shared" si="20"/>
        <v>818</v>
      </c>
      <c r="L134" s="17"/>
    </row>
    <row r="135" spans="1:39" x14ac:dyDescent="0.45">
      <c r="A135" s="2"/>
      <c r="B135" s="2"/>
      <c r="C135" s="2"/>
      <c r="D135" s="2"/>
      <c r="E135" s="2"/>
      <c r="F135" s="2"/>
      <c r="G135" s="2"/>
      <c r="H135" s="2"/>
      <c r="I135" s="2"/>
      <c r="J135" s="2"/>
      <c r="K135" s="2"/>
      <c r="AA135" s="2"/>
      <c r="AB135" s="1" t="s">
        <v>20</v>
      </c>
      <c r="AC135" s="2"/>
      <c r="AD135" s="2"/>
      <c r="AE135" s="1" t="s">
        <v>21</v>
      </c>
      <c r="AF135" s="2"/>
      <c r="AG135" s="2"/>
      <c r="AH135" s="2"/>
      <c r="AI135" s="2"/>
      <c r="AJ135" s="2"/>
      <c r="AK135" s="2"/>
      <c r="AM135" t="s">
        <v>189</v>
      </c>
    </row>
    <row r="136" spans="1:39" x14ac:dyDescent="0.45">
      <c r="A136" s="2"/>
      <c r="B136" s="2"/>
      <c r="C136" s="2"/>
      <c r="D136" s="2"/>
      <c r="E136" s="2"/>
      <c r="F136" s="2"/>
      <c r="G136" s="2"/>
      <c r="H136" s="2"/>
      <c r="I136" s="2"/>
      <c r="J136" s="2"/>
      <c r="K136" s="2"/>
      <c r="AA136" s="26" t="s">
        <v>19</v>
      </c>
      <c r="AB136" s="158">
        <v>17</v>
      </c>
      <c r="AC136" s="158">
        <v>21</v>
      </c>
      <c r="AD136" s="158">
        <v>26</v>
      </c>
      <c r="AE136" s="158">
        <v>1</v>
      </c>
      <c r="AF136" s="158">
        <v>6</v>
      </c>
      <c r="AG136" s="158">
        <v>11</v>
      </c>
      <c r="AH136" s="158">
        <v>16</v>
      </c>
      <c r="AI136" s="158">
        <v>21</v>
      </c>
      <c r="AJ136" s="158">
        <v>26</v>
      </c>
      <c r="AK136" s="8" t="s">
        <v>144</v>
      </c>
      <c r="AM136" s="15">
        <v>42510</v>
      </c>
    </row>
    <row r="137" spans="1:39" x14ac:dyDescent="0.45">
      <c r="A137" s="1" t="s">
        <v>178</v>
      </c>
      <c r="AA137" s="162" t="s">
        <v>1</v>
      </c>
      <c r="AE137">
        <v>1</v>
      </c>
      <c r="AH137">
        <v>4</v>
      </c>
      <c r="AI137" s="2"/>
      <c r="AJ137" s="2"/>
      <c r="AK137" s="86">
        <f>SUM(AB137:AJ137)</f>
        <v>5</v>
      </c>
      <c r="AM137" s="2">
        <v>1</v>
      </c>
    </row>
    <row r="138" spans="1:39" x14ac:dyDescent="0.45">
      <c r="A138" s="1" t="s">
        <v>138</v>
      </c>
      <c r="AA138" s="90" t="s">
        <v>145</v>
      </c>
      <c r="AI138" s="2"/>
      <c r="AJ138" s="2"/>
      <c r="AK138" s="86">
        <f t="shared" ref="AK138:AK170" si="21">SUM(AB138:AJ138)</f>
        <v>0</v>
      </c>
      <c r="AM138" s="2"/>
    </row>
    <row r="139" spans="1:39" x14ac:dyDescent="0.45">
      <c r="AA139" s="90" t="s">
        <v>92</v>
      </c>
      <c r="AI139" s="2"/>
      <c r="AJ139" s="2"/>
      <c r="AK139" s="86">
        <f t="shared" si="21"/>
        <v>0</v>
      </c>
      <c r="AM139" s="2"/>
    </row>
    <row r="140" spans="1:39" x14ac:dyDescent="0.45">
      <c r="A140" s="2"/>
      <c r="B140" s="1" t="s">
        <v>20</v>
      </c>
      <c r="C140" s="2"/>
      <c r="D140" s="2"/>
      <c r="E140" s="1" t="s">
        <v>21</v>
      </c>
      <c r="F140" s="2"/>
      <c r="G140" s="2"/>
      <c r="H140" s="2"/>
      <c r="I140" s="2"/>
      <c r="J140" s="2"/>
      <c r="K140" s="2"/>
      <c r="AA140" s="90" t="s">
        <v>41</v>
      </c>
      <c r="AF140">
        <v>6</v>
      </c>
      <c r="AG140">
        <v>2</v>
      </c>
      <c r="AI140" s="2"/>
      <c r="AJ140" s="2"/>
      <c r="AK140" s="86">
        <f t="shared" si="21"/>
        <v>8</v>
      </c>
      <c r="AM140" s="2"/>
    </row>
    <row r="141" spans="1:39" x14ac:dyDescent="0.45">
      <c r="A141" s="26" t="s">
        <v>19</v>
      </c>
      <c r="B141" s="5">
        <v>16</v>
      </c>
      <c r="C141" s="5">
        <v>21</v>
      </c>
      <c r="D141" s="5">
        <v>26</v>
      </c>
      <c r="E141" s="5">
        <v>1</v>
      </c>
      <c r="F141" s="5">
        <v>6</v>
      </c>
      <c r="G141" s="5">
        <v>11</v>
      </c>
      <c r="H141" s="5">
        <v>16</v>
      </c>
      <c r="I141" s="5">
        <v>21</v>
      </c>
      <c r="J141" s="5">
        <v>26</v>
      </c>
      <c r="K141" s="7" t="s">
        <v>24</v>
      </c>
      <c r="AA141" s="90" t="s">
        <v>2</v>
      </c>
      <c r="AD141">
        <v>18</v>
      </c>
      <c r="AE141">
        <v>9</v>
      </c>
      <c r="AF141">
        <v>30</v>
      </c>
      <c r="AG141">
        <v>9</v>
      </c>
      <c r="AH141">
        <v>4</v>
      </c>
      <c r="AI141" s="2"/>
      <c r="AJ141" s="2"/>
      <c r="AK141" s="86">
        <f t="shared" si="21"/>
        <v>70</v>
      </c>
      <c r="AM141" s="2">
        <v>3</v>
      </c>
    </row>
    <row r="142" spans="1:39" x14ac:dyDescent="0.45">
      <c r="A142" s="3" t="s">
        <v>1</v>
      </c>
      <c r="B142" s="77">
        <v>0</v>
      </c>
      <c r="C142" s="77">
        <v>0</v>
      </c>
      <c r="D142" s="77">
        <v>0</v>
      </c>
      <c r="E142" s="77">
        <v>1</v>
      </c>
      <c r="F142" s="77">
        <v>1</v>
      </c>
      <c r="G142" s="77">
        <v>3</v>
      </c>
      <c r="H142" s="77">
        <v>1</v>
      </c>
      <c r="I142" s="77">
        <v>4</v>
      </c>
      <c r="J142" s="77">
        <v>0</v>
      </c>
      <c r="K142" s="77">
        <f t="shared" ref="K142:K176" si="22">SUM(B142:J142)</f>
        <v>10</v>
      </c>
      <c r="L142" s="77"/>
      <c r="AA142" s="90" t="s">
        <v>43</v>
      </c>
      <c r="AI142" s="2"/>
      <c r="AJ142" s="2"/>
      <c r="AK142" s="86">
        <f t="shared" si="21"/>
        <v>0</v>
      </c>
      <c r="AM142" s="2"/>
    </row>
    <row r="143" spans="1:39" x14ac:dyDescent="0.45">
      <c r="A143" s="83" t="s">
        <v>49</v>
      </c>
      <c r="B143" s="77">
        <v>0</v>
      </c>
      <c r="C143" s="77">
        <v>0</v>
      </c>
      <c r="D143" s="77">
        <v>0</v>
      </c>
      <c r="E143" s="77">
        <v>0</v>
      </c>
      <c r="F143" s="77">
        <v>0</v>
      </c>
      <c r="G143" s="77">
        <v>0</v>
      </c>
      <c r="H143" s="77">
        <v>0</v>
      </c>
      <c r="I143" s="77">
        <v>0</v>
      </c>
      <c r="J143" s="77">
        <v>0</v>
      </c>
      <c r="K143" s="77">
        <f t="shared" si="22"/>
        <v>0</v>
      </c>
      <c r="AA143" s="90" t="s">
        <v>3</v>
      </c>
      <c r="AB143">
        <v>3</v>
      </c>
      <c r="AC143">
        <v>3</v>
      </c>
      <c r="AD143">
        <v>4</v>
      </c>
      <c r="AE143">
        <v>2</v>
      </c>
      <c r="AF143">
        <v>2</v>
      </c>
      <c r="AG143">
        <v>1</v>
      </c>
      <c r="AH143">
        <v>2</v>
      </c>
      <c r="AI143" s="2">
        <v>1</v>
      </c>
      <c r="AJ143" s="2"/>
      <c r="AK143" s="86">
        <f t="shared" si="21"/>
        <v>18</v>
      </c>
      <c r="AM143" s="2">
        <v>4</v>
      </c>
    </row>
    <row r="144" spans="1:39" x14ac:dyDescent="0.45">
      <c r="A144" s="83" t="s">
        <v>45</v>
      </c>
      <c r="B144" s="77">
        <v>0</v>
      </c>
      <c r="C144" s="77">
        <v>0</v>
      </c>
      <c r="D144" s="77">
        <v>0</v>
      </c>
      <c r="E144" s="77">
        <v>0</v>
      </c>
      <c r="F144" s="77">
        <v>0</v>
      </c>
      <c r="G144" s="77">
        <v>0</v>
      </c>
      <c r="H144" s="77">
        <v>0</v>
      </c>
      <c r="I144" s="77">
        <v>0</v>
      </c>
      <c r="J144" s="77">
        <v>0</v>
      </c>
      <c r="K144" s="77">
        <f t="shared" si="22"/>
        <v>0</v>
      </c>
      <c r="AA144" s="90" t="s">
        <v>4</v>
      </c>
      <c r="AD144">
        <v>3</v>
      </c>
      <c r="AG144">
        <v>2</v>
      </c>
      <c r="AH144">
        <v>3</v>
      </c>
      <c r="AI144" s="2">
        <v>2</v>
      </c>
      <c r="AJ144" s="2">
        <v>3</v>
      </c>
      <c r="AK144" s="86">
        <f t="shared" si="21"/>
        <v>13</v>
      </c>
      <c r="AM144" s="2">
        <v>8</v>
      </c>
    </row>
    <row r="145" spans="1:39" x14ac:dyDescent="0.45">
      <c r="A145" s="83" t="s">
        <v>41</v>
      </c>
      <c r="B145" s="77">
        <v>0</v>
      </c>
      <c r="C145" s="77">
        <v>0</v>
      </c>
      <c r="D145" s="77">
        <v>0</v>
      </c>
      <c r="E145" s="77">
        <v>0</v>
      </c>
      <c r="F145" s="77">
        <v>6</v>
      </c>
      <c r="G145" s="77">
        <v>1</v>
      </c>
      <c r="H145" s="77">
        <v>0</v>
      </c>
      <c r="I145" s="77">
        <v>0</v>
      </c>
      <c r="J145" s="77">
        <v>0</v>
      </c>
      <c r="K145" s="77">
        <f t="shared" si="22"/>
        <v>7</v>
      </c>
      <c r="L145" s="77"/>
      <c r="AA145" s="90" t="s">
        <v>48</v>
      </c>
      <c r="AI145" s="2"/>
      <c r="AJ145" s="2"/>
      <c r="AK145" s="86">
        <f t="shared" si="21"/>
        <v>0</v>
      </c>
      <c r="AM145" s="2"/>
    </row>
    <row r="146" spans="1:39" x14ac:dyDescent="0.45">
      <c r="A146" s="3" t="s">
        <v>2</v>
      </c>
      <c r="B146" s="77">
        <v>0</v>
      </c>
      <c r="C146" s="77">
        <v>1</v>
      </c>
      <c r="D146" s="77">
        <v>9</v>
      </c>
      <c r="E146" s="77">
        <v>0</v>
      </c>
      <c r="F146" s="77">
        <v>6</v>
      </c>
      <c r="G146" s="77">
        <v>0</v>
      </c>
      <c r="H146" s="77">
        <v>0</v>
      </c>
      <c r="I146" s="77">
        <v>0</v>
      </c>
      <c r="J146" s="77">
        <v>0</v>
      </c>
      <c r="K146" s="77">
        <f t="shared" si="22"/>
        <v>16</v>
      </c>
      <c r="L146" s="77"/>
      <c r="AA146" s="90" t="s">
        <v>6</v>
      </c>
      <c r="AI146" s="2"/>
      <c r="AJ146" s="2"/>
      <c r="AK146" s="86">
        <f t="shared" si="21"/>
        <v>0</v>
      </c>
      <c r="AM146" s="2"/>
    </row>
    <row r="147" spans="1:39" x14ac:dyDescent="0.45">
      <c r="A147" s="83" t="s">
        <v>43</v>
      </c>
      <c r="B147" s="77">
        <v>0</v>
      </c>
      <c r="C147" s="77">
        <v>0</v>
      </c>
      <c r="D147" s="77">
        <v>0</v>
      </c>
      <c r="E147" s="77">
        <v>0</v>
      </c>
      <c r="F147" s="77">
        <v>0</v>
      </c>
      <c r="G147" s="77">
        <v>0</v>
      </c>
      <c r="H147" s="77">
        <v>0</v>
      </c>
      <c r="I147" s="77">
        <v>0</v>
      </c>
      <c r="J147" s="77">
        <v>0</v>
      </c>
      <c r="K147" s="77">
        <f t="shared" si="22"/>
        <v>0</v>
      </c>
      <c r="AA147" s="90" t="s">
        <v>7</v>
      </c>
      <c r="AF147">
        <v>2</v>
      </c>
      <c r="AG147">
        <v>1</v>
      </c>
      <c r="AH147">
        <v>1</v>
      </c>
      <c r="AI147" s="2"/>
      <c r="AJ147" s="2">
        <v>2</v>
      </c>
      <c r="AK147" s="86">
        <f t="shared" si="21"/>
        <v>6</v>
      </c>
      <c r="AM147" s="2">
        <v>1</v>
      </c>
    </row>
    <row r="148" spans="1:39" x14ac:dyDescent="0.45">
      <c r="A148" s="3" t="s">
        <v>3</v>
      </c>
      <c r="B148" s="77">
        <v>2</v>
      </c>
      <c r="C148" s="77">
        <v>5</v>
      </c>
      <c r="D148" s="77">
        <v>13</v>
      </c>
      <c r="E148" s="77">
        <v>6</v>
      </c>
      <c r="F148" s="77">
        <v>4</v>
      </c>
      <c r="G148" s="77">
        <v>6</v>
      </c>
      <c r="H148" s="77">
        <v>7</v>
      </c>
      <c r="I148" s="77">
        <v>2</v>
      </c>
      <c r="J148" s="77">
        <v>5</v>
      </c>
      <c r="K148" s="77">
        <f t="shared" si="22"/>
        <v>50</v>
      </c>
      <c r="L148" s="77"/>
      <c r="AA148" s="90" t="s">
        <v>50</v>
      </c>
      <c r="AI148" s="2"/>
      <c r="AJ148" s="2"/>
      <c r="AK148" s="86">
        <f t="shared" si="21"/>
        <v>0</v>
      </c>
      <c r="AM148" s="2"/>
    </row>
    <row r="149" spans="1:39" x14ac:dyDescent="0.45">
      <c r="A149" s="3" t="s">
        <v>4</v>
      </c>
      <c r="B149" s="77">
        <v>0</v>
      </c>
      <c r="C149" s="77">
        <v>0</v>
      </c>
      <c r="D149" s="77">
        <v>1</v>
      </c>
      <c r="E149" s="77">
        <v>0</v>
      </c>
      <c r="F149" s="77">
        <v>0</v>
      </c>
      <c r="G149" s="77">
        <v>0</v>
      </c>
      <c r="H149" s="77">
        <v>0</v>
      </c>
      <c r="I149" s="77">
        <v>0</v>
      </c>
      <c r="J149" s="77">
        <v>0</v>
      </c>
      <c r="K149" s="77">
        <f t="shared" si="22"/>
        <v>1</v>
      </c>
      <c r="L149" s="77"/>
      <c r="AA149" s="90" t="s">
        <v>51</v>
      </c>
      <c r="AE149">
        <v>2</v>
      </c>
      <c r="AF149">
        <v>4</v>
      </c>
      <c r="AG149">
        <v>6</v>
      </c>
      <c r="AH149">
        <v>3</v>
      </c>
      <c r="AI149" s="2">
        <v>2</v>
      </c>
      <c r="AJ149" s="2">
        <v>4</v>
      </c>
      <c r="AK149" s="86">
        <f t="shared" si="21"/>
        <v>21</v>
      </c>
      <c r="AM149" s="2">
        <v>3</v>
      </c>
    </row>
    <row r="150" spans="1:39" x14ac:dyDescent="0.45">
      <c r="A150" s="83" t="s">
        <v>48</v>
      </c>
      <c r="B150" s="77">
        <v>0</v>
      </c>
      <c r="C150" s="77">
        <v>0</v>
      </c>
      <c r="D150" s="77">
        <v>0</v>
      </c>
      <c r="E150" s="77">
        <v>0</v>
      </c>
      <c r="F150" s="77">
        <v>0</v>
      </c>
      <c r="G150" s="77">
        <v>1</v>
      </c>
      <c r="H150" s="77">
        <v>0</v>
      </c>
      <c r="I150" s="77">
        <v>0</v>
      </c>
      <c r="J150" s="77">
        <v>0</v>
      </c>
      <c r="K150" s="77">
        <f t="shared" si="22"/>
        <v>1</v>
      </c>
      <c r="L150" s="77"/>
      <c r="AA150" s="90" t="s">
        <v>42</v>
      </c>
      <c r="AG150">
        <v>1</v>
      </c>
      <c r="AI150" s="2"/>
      <c r="AJ150" s="2"/>
      <c r="AK150" s="86">
        <f t="shared" si="21"/>
        <v>1</v>
      </c>
      <c r="AM150" s="2">
        <v>1</v>
      </c>
    </row>
    <row r="151" spans="1:39" x14ac:dyDescent="0.45">
      <c r="A151" s="3" t="s">
        <v>6</v>
      </c>
      <c r="B151" s="77">
        <v>0</v>
      </c>
      <c r="C151" s="77">
        <v>0</v>
      </c>
      <c r="D151" s="77">
        <v>0</v>
      </c>
      <c r="E151" s="77">
        <v>0</v>
      </c>
      <c r="F151" s="77">
        <v>0</v>
      </c>
      <c r="G151" s="77">
        <v>0</v>
      </c>
      <c r="H151" s="77">
        <v>0</v>
      </c>
      <c r="I151" s="77">
        <v>0</v>
      </c>
      <c r="J151" s="77">
        <v>5</v>
      </c>
      <c r="K151" s="77">
        <f t="shared" si="22"/>
        <v>5</v>
      </c>
      <c r="L151" s="77"/>
      <c r="AA151" s="90" t="s">
        <v>8</v>
      </c>
      <c r="AI151" s="2"/>
      <c r="AJ151" s="2"/>
      <c r="AK151" s="86">
        <f t="shared" si="21"/>
        <v>0</v>
      </c>
      <c r="AM151" s="2"/>
    </row>
    <row r="152" spans="1:39" x14ac:dyDescent="0.45">
      <c r="A152" s="3" t="s">
        <v>7</v>
      </c>
      <c r="B152" s="77">
        <v>0</v>
      </c>
      <c r="C152" s="77">
        <v>0</v>
      </c>
      <c r="D152" s="77">
        <v>0</v>
      </c>
      <c r="E152" s="77">
        <v>2</v>
      </c>
      <c r="F152" s="77">
        <v>0</v>
      </c>
      <c r="G152" s="77">
        <v>0</v>
      </c>
      <c r="H152" s="77">
        <v>0</v>
      </c>
      <c r="I152" s="77">
        <v>3</v>
      </c>
      <c r="J152" s="77">
        <v>3</v>
      </c>
      <c r="K152" s="77">
        <f t="shared" si="22"/>
        <v>8</v>
      </c>
      <c r="L152" s="77"/>
      <c r="AA152" s="90" t="s">
        <v>9</v>
      </c>
      <c r="AI152" s="2"/>
      <c r="AJ152" s="2"/>
      <c r="AK152" s="86">
        <f t="shared" si="21"/>
        <v>0</v>
      </c>
      <c r="AM152" s="2"/>
    </row>
    <row r="153" spans="1:39" x14ac:dyDescent="0.45">
      <c r="A153" s="101" t="s">
        <v>83</v>
      </c>
      <c r="B153" s="77">
        <v>0</v>
      </c>
      <c r="C153" s="77">
        <v>0</v>
      </c>
      <c r="D153" s="77">
        <v>0</v>
      </c>
      <c r="E153" s="77">
        <v>0</v>
      </c>
      <c r="F153" s="77">
        <v>0</v>
      </c>
      <c r="G153" s="77">
        <v>0</v>
      </c>
      <c r="H153" s="77">
        <v>0</v>
      </c>
      <c r="I153" s="77">
        <v>0</v>
      </c>
      <c r="J153" s="77">
        <v>0</v>
      </c>
      <c r="K153" s="77">
        <f>SUM(B153:J153)</f>
        <v>0</v>
      </c>
      <c r="AA153" s="90" t="s">
        <v>44</v>
      </c>
      <c r="AI153" s="2">
        <v>2</v>
      </c>
      <c r="AJ153" s="2"/>
      <c r="AK153" s="86">
        <f t="shared" si="21"/>
        <v>2</v>
      </c>
      <c r="AM153" s="2"/>
    </row>
    <row r="154" spans="1:39" x14ac:dyDescent="0.45">
      <c r="A154" s="83" t="s">
        <v>50</v>
      </c>
      <c r="B154" s="77">
        <v>0</v>
      </c>
      <c r="C154" s="77">
        <v>0</v>
      </c>
      <c r="D154" s="77">
        <v>0</v>
      </c>
      <c r="E154" s="77">
        <v>0</v>
      </c>
      <c r="F154" s="77">
        <v>0</v>
      </c>
      <c r="G154" s="77">
        <v>0</v>
      </c>
      <c r="H154" s="77">
        <v>0</v>
      </c>
      <c r="I154" s="77">
        <v>0</v>
      </c>
      <c r="J154" s="77">
        <v>0</v>
      </c>
      <c r="K154" s="77">
        <f t="shared" si="22"/>
        <v>0</v>
      </c>
      <c r="L154" s="77"/>
      <c r="AA154" s="90" t="s">
        <v>10</v>
      </c>
      <c r="AI154" s="2"/>
      <c r="AJ154" s="2"/>
      <c r="AK154" s="86">
        <f t="shared" si="21"/>
        <v>0</v>
      </c>
      <c r="AM154" s="2">
        <v>6</v>
      </c>
    </row>
    <row r="155" spans="1:39" x14ac:dyDescent="0.45">
      <c r="A155" s="83" t="s">
        <v>51</v>
      </c>
      <c r="B155" s="77">
        <v>0</v>
      </c>
      <c r="C155" s="77">
        <v>0</v>
      </c>
      <c r="D155" s="77">
        <v>0</v>
      </c>
      <c r="E155" s="77">
        <v>0</v>
      </c>
      <c r="F155" s="77">
        <v>0</v>
      </c>
      <c r="G155" s="77">
        <v>2</v>
      </c>
      <c r="H155" s="77">
        <v>0</v>
      </c>
      <c r="I155" s="77">
        <v>0</v>
      </c>
      <c r="J155" s="77">
        <v>0</v>
      </c>
      <c r="K155" s="77">
        <f t="shared" si="22"/>
        <v>2</v>
      </c>
      <c r="AA155" s="90" t="s">
        <v>11</v>
      </c>
      <c r="AD155">
        <v>60</v>
      </c>
      <c r="AE155">
        <v>90</v>
      </c>
      <c r="AF155">
        <v>2100</v>
      </c>
      <c r="AG155">
        <v>35</v>
      </c>
      <c r="AH155">
        <v>300</v>
      </c>
      <c r="AI155" s="2">
        <v>50</v>
      </c>
      <c r="AJ155" s="2">
        <v>17</v>
      </c>
      <c r="AK155" s="86">
        <f t="shared" si="21"/>
        <v>2652</v>
      </c>
      <c r="AM155" s="2">
        <v>190</v>
      </c>
    </row>
    <row r="156" spans="1:39" x14ac:dyDescent="0.45">
      <c r="A156" s="83" t="s">
        <v>42</v>
      </c>
      <c r="B156" s="77">
        <v>0</v>
      </c>
      <c r="C156" s="77">
        <v>0</v>
      </c>
      <c r="D156" s="77">
        <v>0</v>
      </c>
      <c r="E156" s="77">
        <v>0</v>
      </c>
      <c r="F156" s="77">
        <v>0</v>
      </c>
      <c r="G156" s="77">
        <v>0</v>
      </c>
      <c r="H156" s="77">
        <v>0</v>
      </c>
      <c r="I156" s="77">
        <v>0</v>
      </c>
      <c r="J156" s="77">
        <v>0</v>
      </c>
      <c r="K156" s="77">
        <f t="shared" si="22"/>
        <v>0</v>
      </c>
      <c r="AA156" s="90" t="s">
        <v>12</v>
      </c>
      <c r="AG156">
        <v>2</v>
      </c>
      <c r="AI156" s="2"/>
      <c r="AJ156" s="2"/>
      <c r="AK156" s="86">
        <f t="shared" si="21"/>
        <v>2</v>
      </c>
      <c r="AM156" s="2"/>
    </row>
    <row r="157" spans="1:39" x14ac:dyDescent="0.45">
      <c r="A157" s="3" t="s">
        <v>8</v>
      </c>
      <c r="B157" s="77">
        <v>0</v>
      </c>
      <c r="C157" s="77">
        <v>0</v>
      </c>
      <c r="D157" s="77">
        <v>0</v>
      </c>
      <c r="E157" s="77">
        <v>0</v>
      </c>
      <c r="F157" s="77">
        <v>0</v>
      </c>
      <c r="G157" s="77">
        <v>0</v>
      </c>
      <c r="H157" s="77">
        <v>0</v>
      </c>
      <c r="I157" s="77">
        <v>0</v>
      </c>
      <c r="J157" s="77">
        <v>0</v>
      </c>
      <c r="K157" s="77">
        <f t="shared" si="22"/>
        <v>0</v>
      </c>
      <c r="AA157" s="90" t="s">
        <v>32</v>
      </c>
      <c r="AG157">
        <v>2</v>
      </c>
      <c r="AH157">
        <v>10</v>
      </c>
      <c r="AI157" s="2"/>
      <c r="AJ157" s="2">
        <v>2</v>
      </c>
      <c r="AK157" s="86">
        <f t="shared" si="21"/>
        <v>14</v>
      </c>
      <c r="AM157" s="2">
        <v>1</v>
      </c>
    </row>
    <row r="158" spans="1:39" x14ac:dyDescent="0.45">
      <c r="A158" s="3" t="s">
        <v>9</v>
      </c>
      <c r="B158" s="77">
        <v>0</v>
      </c>
      <c r="C158" s="77">
        <v>0</v>
      </c>
      <c r="D158" s="77">
        <v>0</v>
      </c>
      <c r="E158" s="77">
        <v>0</v>
      </c>
      <c r="F158" s="77">
        <v>0</v>
      </c>
      <c r="G158" s="77">
        <v>0</v>
      </c>
      <c r="H158" s="77">
        <v>0</v>
      </c>
      <c r="I158" s="77">
        <v>0</v>
      </c>
      <c r="J158" s="77">
        <v>0</v>
      </c>
      <c r="K158" s="77">
        <f t="shared" si="22"/>
        <v>0</v>
      </c>
      <c r="AA158" s="90" t="s">
        <v>146</v>
      </c>
      <c r="AI158" s="2"/>
      <c r="AJ158" s="2"/>
      <c r="AK158" s="86">
        <f t="shared" si="21"/>
        <v>0</v>
      </c>
      <c r="AM158" s="2"/>
    </row>
    <row r="159" spans="1:39" x14ac:dyDescent="0.45">
      <c r="A159" s="83" t="s">
        <v>44</v>
      </c>
      <c r="B159" s="77">
        <v>0</v>
      </c>
      <c r="C159" s="77">
        <v>0</v>
      </c>
      <c r="D159" s="77">
        <v>0</v>
      </c>
      <c r="E159" s="77">
        <v>0</v>
      </c>
      <c r="F159" s="77">
        <v>0</v>
      </c>
      <c r="G159" s="77">
        <v>0</v>
      </c>
      <c r="H159" s="77">
        <v>0</v>
      </c>
      <c r="I159" s="77">
        <v>0</v>
      </c>
      <c r="J159" s="77">
        <v>0</v>
      </c>
      <c r="K159" s="77">
        <f t="shared" si="22"/>
        <v>0</v>
      </c>
      <c r="AA159" s="90" t="s">
        <v>46</v>
      </c>
      <c r="AH159">
        <v>2</v>
      </c>
      <c r="AI159" s="2"/>
      <c r="AJ159" s="2"/>
      <c r="AK159" s="86">
        <f t="shared" si="21"/>
        <v>2</v>
      </c>
      <c r="AM159" s="2">
        <v>2</v>
      </c>
    </row>
    <row r="160" spans="1:39" x14ac:dyDescent="0.45">
      <c r="A160" s="3" t="s">
        <v>10</v>
      </c>
      <c r="B160" s="77">
        <v>0</v>
      </c>
      <c r="C160" s="77">
        <v>0</v>
      </c>
      <c r="D160" s="77">
        <v>0</v>
      </c>
      <c r="E160" s="77">
        <v>0</v>
      </c>
      <c r="F160" s="77">
        <v>2</v>
      </c>
      <c r="G160" s="77">
        <v>16</v>
      </c>
      <c r="H160" s="77">
        <v>0</v>
      </c>
      <c r="I160" s="77">
        <v>0</v>
      </c>
      <c r="J160" s="77">
        <v>0</v>
      </c>
      <c r="K160" s="77">
        <f t="shared" si="22"/>
        <v>18</v>
      </c>
      <c r="L160" s="77"/>
      <c r="AA160" s="90" t="s">
        <v>13</v>
      </c>
      <c r="AH160">
        <v>1</v>
      </c>
      <c r="AI160" s="2"/>
      <c r="AJ160" s="2"/>
      <c r="AK160" s="86">
        <f t="shared" si="21"/>
        <v>1</v>
      </c>
      <c r="AM160" s="2"/>
    </row>
    <row r="161" spans="1:39" x14ac:dyDescent="0.45">
      <c r="A161" s="3" t="s">
        <v>11</v>
      </c>
      <c r="B161" s="77">
        <v>0</v>
      </c>
      <c r="C161" s="77">
        <v>0</v>
      </c>
      <c r="D161" s="77">
        <v>0</v>
      </c>
      <c r="E161" s="77">
        <v>4</v>
      </c>
      <c r="F161" s="77">
        <v>4</v>
      </c>
      <c r="G161" s="77">
        <v>0</v>
      </c>
      <c r="H161" s="77">
        <v>4</v>
      </c>
      <c r="I161" s="77">
        <v>0</v>
      </c>
      <c r="J161" s="77">
        <v>1</v>
      </c>
      <c r="K161" s="77">
        <f t="shared" si="22"/>
        <v>13</v>
      </c>
      <c r="L161" s="77"/>
      <c r="AA161" s="90" t="s">
        <v>14</v>
      </c>
      <c r="AD161">
        <v>87</v>
      </c>
      <c r="AE161">
        <v>30</v>
      </c>
      <c r="AF161">
        <v>350</v>
      </c>
      <c r="AG161">
        <v>8</v>
      </c>
      <c r="AH161">
        <v>25</v>
      </c>
      <c r="AI161" s="2">
        <v>10</v>
      </c>
      <c r="AJ161" s="2">
        <v>13</v>
      </c>
      <c r="AK161" s="86">
        <f t="shared" si="21"/>
        <v>523</v>
      </c>
      <c r="AM161" s="2">
        <v>75</v>
      </c>
    </row>
    <row r="162" spans="1:39" x14ac:dyDescent="0.45">
      <c r="A162" s="3" t="s">
        <v>12</v>
      </c>
      <c r="B162" s="77">
        <v>0</v>
      </c>
      <c r="C162" s="77">
        <v>0</v>
      </c>
      <c r="D162" s="77">
        <v>0</v>
      </c>
      <c r="E162" s="77">
        <v>10</v>
      </c>
      <c r="F162" s="77">
        <v>4</v>
      </c>
      <c r="G162" s="77">
        <v>0</v>
      </c>
      <c r="H162" s="77">
        <v>2</v>
      </c>
      <c r="I162" s="77">
        <v>0</v>
      </c>
      <c r="J162" s="77">
        <v>1</v>
      </c>
      <c r="K162" s="77">
        <f t="shared" si="22"/>
        <v>17</v>
      </c>
      <c r="L162" s="77"/>
      <c r="AA162" s="90" t="s">
        <v>40</v>
      </c>
      <c r="AI162" s="2"/>
      <c r="AJ162" s="2"/>
      <c r="AK162" s="86">
        <f t="shared" si="21"/>
        <v>0</v>
      </c>
      <c r="AM162" s="2"/>
    </row>
    <row r="163" spans="1:39" x14ac:dyDescent="0.45">
      <c r="A163" s="83" t="s">
        <v>32</v>
      </c>
      <c r="B163" s="77">
        <v>0</v>
      </c>
      <c r="C163" s="77">
        <v>0</v>
      </c>
      <c r="D163" s="77">
        <v>0</v>
      </c>
      <c r="E163" s="77">
        <v>2</v>
      </c>
      <c r="F163" s="77">
        <v>0</v>
      </c>
      <c r="G163" s="77">
        <v>0</v>
      </c>
      <c r="H163" s="77">
        <v>1</v>
      </c>
      <c r="I163" s="77">
        <v>1</v>
      </c>
      <c r="J163" s="77">
        <v>1</v>
      </c>
      <c r="K163" s="77">
        <f t="shared" si="22"/>
        <v>5</v>
      </c>
      <c r="L163" s="77"/>
      <c r="AA163" s="90" t="s">
        <v>52</v>
      </c>
      <c r="AH163">
        <v>1</v>
      </c>
      <c r="AI163" s="2"/>
      <c r="AJ163" s="2"/>
      <c r="AK163" s="86">
        <f t="shared" si="21"/>
        <v>1</v>
      </c>
      <c r="AM163" s="2"/>
    </row>
    <row r="164" spans="1:39" x14ac:dyDescent="0.45">
      <c r="A164" s="3" t="s">
        <v>18</v>
      </c>
      <c r="B164" s="77">
        <v>0</v>
      </c>
      <c r="C164" s="77">
        <v>0</v>
      </c>
      <c r="D164" s="77">
        <v>0</v>
      </c>
      <c r="E164" s="77">
        <v>0</v>
      </c>
      <c r="F164" s="77">
        <v>6</v>
      </c>
      <c r="G164" s="77">
        <v>15</v>
      </c>
      <c r="H164" s="77">
        <v>0</v>
      </c>
      <c r="I164" s="77">
        <v>20</v>
      </c>
      <c r="J164" s="77">
        <v>0</v>
      </c>
      <c r="K164" s="77">
        <f t="shared" si="22"/>
        <v>41</v>
      </c>
      <c r="L164" s="77"/>
      <c r="AA164" s="90" t="s">
        <v>53</v>
      </c>
      <c r="AH164">
        <v>5</v>
      </c>
      <c r="AI164" s="2"/>
      <c r="AJ164" s="2"/>
      <c r="AK164" s="86">
        <f t="shared" si="21"/>
        <v>5</v>
      </c>
      <c r="AM164" s="2">
        <v>1</v>
      </c>
    </row>
    <row r="165" spans="1:39" x14ac:dyDescent="0.45">
      <c r="A165" s="83" t="s">
        <v>46</v>
      </c>
      <c r="B165" s="77">
        <v>0</v>
      </c>
      <c r="C165" s="77">
        <v>0</v>
      </c>
      <c r="D165" s="77">
        <v>0</v>
      </c>
      <c r="E165" s="77">
        <v>0</v>
      </c>
      <c r="F165" s="77">
        <v>0</v>
      </c>
      <c r="G165" s="77">
        <v>0</v>
      </c>
      <c r="H165" s="77">
        <v>0</v>
      </c>
      <c r="I165" s="77">
        <v>0</v>
      </c>
      <c r="J165" s="77">
        <v>0</v>
      </c>
      <c r="K165" s="77">
        <f t="shared" si="22"/>
        <v>0</v>
      </c>
      <c r="AA165" s="90" t="s">
        <v>15</v>
      </c>
      <c r="AD165">
        <v>16</v>
      </c>
      <c r="AE165">
        <v>32</v>
      </c>
      <c r="AF165">
        <v>60</v>
      </c>
      <c r="AG165">
        <v>75</v>
      </c>
      <c r="AH165">
        <v>28</v>
      </c>
      <c r="AI165" s="2">
        <v>100</v>
      </c>
      <c r="AJ165" s="2">
        <v>67</v>
      </c>
      <c r="AK165" s="86">
        <f t="shared" si="21"/>
        <v>378</v>
      </c>
      <c r="AM165" s="2">
        <v>20</v>
      </c>
    </row>
    <row r="166" spans="1:39" x14ac:dyDescent="0.45">
      <c r="A166" s="3" t="s">
        <v>13</v>
      </c>
      <c r="B166" s="77">
        <v>0</v>
      </c>
      <c r="C166" s="77">
        <v>0</v>
      </c>
      <c r="D166" s="77">
        <v>0</v>
      </c>
      <c r="E166" s="77">
        <v>0</v>
      </c>
      <c r="F166" s="77">
        <v>1</v>
      </c>
      <c r="G166" s="77">
        <v>0</v>
      </c>
      <c r="H166" s="77">
        <v>0</v>
      </c>
      <c r="I166" s="77">
        <v>0</v>
      </c>
      <c r="J166" s="77">
        <v>0</v>
      </c>
      <c r="K166" s="77">
        <f t="shared" si="22"/>
        <v>1</v>
      </c>
      <c r="L166" s="77"/>
      <c r="AA166" s="90" t="s">
        <v>54</v>
      </c>
      <c r="AI166" s="2"/>
      <c r="AJ166" s="2"/>
      <c r="AK166" s="86">
        <f t="shared" si="21"/>
        <v>0</v>
      </c>
      <c r="AM166" s="2"/>
    </row>
    <row r="167" spans="1:39" x14ac:dyDescent="0.45">
      <c r="A167" s="3" t="s">
        <v>14</v>
      </c>
      <c r="B167" s="77">
        <v>0</v>
      </c>
      <c r="C167" s="77">
        <v>0</v>
      </c>
      <c r="D167" s="77">
        <v>1</v>
      </c>
      <c r="E167" s="77">
        <v>0</v>
      </c>
      <c r="F167" s="77">
        <v>6</v>
      </c>
      <c r="G167" s="77">
        <v>0</v>
      </c>
      <c r="H167" s="77">
        <v>1</v>
      </c>
      <c r="I167" s="77">
        <v>1</v>
      </c>
      <c r="J167" s="77">
        <v>0</v>
      </c>
      <c r="K167" s="77">
        <f t="shared" si="22"/>
        <v>9</v>
      </c>
      <c r="L167" s="77"/>
      <c r="AA167" s="90" t="s">
        <v>47</v>
      </c>
      <c r="AI167" s="2"/>
      <c r="AJ167" s="2"/>
      <c r="AK167" s="86">
        <f t="shared" si="21"/>
        <v>0</v>
      </c>
      <c r="AM167" s="2"/>
    </row>
    <row r="168" spans="1:39" x14ac:dyDescent="0.45">
      <c r="A168" s="83" t="s">
        <v>40</v>
      </c>
      <c r="B168" s="77">
        <v>0</v>
      </c>
      <c r="C168" s="77">
        <v>0</v>
      </c>
      <c r="D168" s="77">
        <v>0</v>
      </c>
      <c r="E168" s="77">
        <v>0</v>
      </c>
      <c r="F168" s="77">
        <v>0</v>
      </c>
      <c r="G168" s="77">
        <v>0</v>
      </c>
      <c r="H168" s="77">
        <v>0</v>
      </c>
      <c r="I168" s="77">
        <v>0</v>
      </c>
      <c r="J168" s="77">
        <v>0</v>
      </c>
      <c r="K168" s="77">
        <f t="shared" si="22"/>
        <v>0</v>
      </c>
      <c r="AA168" s="90" t="s">
        <v>16</v>
      </c>
      <c r="AE168">
        <v>2</v>
      </c>
      <c r="AF168">
        <v>1</v>
      </c>
      <c r="AH168">
        <v>1</v>
      </c>
      <c r="AI168" s="2"/>
      <c r="AJ168" s="2">
        <v>1</v>
      </c>
      <c r="AK168" s="86">
        <f t="shared" si="21"/>
        <v>5</v>
      </c>
      <c r="AM168" s="2"/>
    </row>
    <row r="169" spans="1:39" x14ac:dyDescent="0.45">
      <c r="A169" s="83" t="s">
        <v>52</v>
      </c>
      <c r="B169" s="77">
        <v>0</v>
      </c>
      <c r="C169" s="77">
        <v>0</v>
      </c>
      <c r="D169" s="77">
        <v>0</v>
      </c>
      <c r="E169" s="77">
        <v>0</v>
      </c>
      <c r="F169" s="77">
        <v>0</v>
      </c>
      <c r="G169" s="77">
        <v>0</v>
      </c>
      <c r="H169" s="77">
        <v>0</v>
      </c>
      <c r="I169" s="77">
        <v>0</v>
      </c>
      <c r="J169" s="77">
        <v>0</v>
      </c>
      <c r="K169" s="77">
        <f t="shared" si="22"/>
        <v>0</v>
      </c>
      <c r="AA169" s="90" t="s">
        <v>17</v>
      </c>
      <c r="AI169" s="2"/>
      <c r="AJ169" s="2"/>
      <c r="AK169" s="86">
        <f t="shared" si="21"/>
        <v>0</v>
      </c>
      <c r="AM169" s="2"/>
    </row>
    <row r="170" spans="1:39" x14ac:dyDescent="0.45">
      <c r="A170" s="83" t="s">
        <v>53</v>
      </c>
      <c r="B170" s="77">
        <v>0</v>
      </c>
      <c r="C170" s="77">
        <v>0</v>
      </c>
      <c r="D170" s="77">
        <v>0</v>
      </c>
      <c r="E170" s="77">
        <v>0</v>
      </c>
      <c r="F170" s="77">
        <v>0</v>
      </c>
      <c r="G170" s="77">
        <v>0</v>
      </c>
      <c r="H170" s="77">
        <v>0</v>
      </c>
      <c r="I170" s="77">
        <v>0</v>
      </c>
      <c r="J170" s="77">
        <v>0</v>
      </c>
      <c r="K170" s="77">
        <f t="shared" si="22"/>
        <v>0</v>
      </c>
      <c r="AA170" s="170" t="s">
        <v>144</v>
      </c>
      <c r="AB170" s="176">
        <f>SUM(AB137:AB169)</f>
        <v>3</v>
      </c>
      <c r="AC170" s="165">
        <f t="shared" ref="AC170:AM170" si="23">SUM(AC137:AC169)</f>
        <v>3</v>
      </c>
      <c r="AD170" s="165">
        <f t="shared" si="23"/>
        <v>188</v>
      </c>
      <c r="AE170" s="165">
        <f t="shared" si="23"/>
        <v>168</v>
      </c>
      <c r="AF170" s="165">
        <f t="shared" si="23"/>
        <v>2555</v>
      </c>
      <c r="AG170" s="165">
        <f t="shared" si="23"/>
        <v>144</v>
      </c>
      <c r="AH170" s="165">
        <f t="shared" si="23"/>
        <v>390</v>
      </c>
      <c r="AI170" s="165">
        <f t="shared" ref="AI170" si="24">SUM(AI137:AI169)</f>
        <v>167</v>
      </c>
      <c r="AJ170" s="165">
        <f t="shared" ref="AJ170" si="25">SUM(AJ137:AJ169)</f>
        <v>109</v>
      </c>
      <c r="AK170" s="160">
        <f t="shared" si="21"/>
        <v>3727</v>
      </c>
      <c r="AL170" s="177">
        <f>SUM(AK137:AK169)</f>
        <v>3727</v>
      </c>
      <c r="AM170" s="165">
        <f t="shared" si="23"/>
        <v>316</v>
      </c>
    </row>
    <row r="171" spans="1:39" x14ac:dyDescent="0.45">
      <c r="A171" s="3" t="s">
        <v>15</v>
      </c>
      <c r="B171" s="77">
        <v>0</v>
      </c>
      <c r="C171" s="77">
        <v>0</v>
      </c>
      <c r="D171" s="77">
        <v>0</v>
      </c>
      <c r="E171" s="77">
        <v>0</v>
      </c>
      <c r="F171" s="77">
        <v>2</v>
      </c>
      <c r="G171" s="77">
        <v>0</v>
      </c>
      <c r="H171" s="77">
        <v>0</v>
      </c>
      <c r="I171" s="77">
        <v>0</v>
      </c>
      <c r="J171" s="77">
        <v>2</v>
      </c>
      <c r="K171" s="77">
        <f t="shared" si="22"/>
        <v>4</v>
      </c>
      <c r="L171" s="77"/>
    </row>
    <row r="172" spans="1:39" x14ac:dyDescent="0.45">
      <c r="A172" s="83" t="s">
        <v>54</v>
      </c>
      <c r="B172" s="77">
        <v>0</v>
      </c>
      <c r="C172" s="77">
        <v>0</v>
      </c>
      <c r="D172" s="77">
        <v>0</v>
      </c>
      <c r="E172" s="77">
        <v>0</v>
      </c>
      <c r="F172" s="77">
        <v>0</v>
      </c>
      <c r="G172" s="77">
        <v>0</v>
      </c>
      <c r="H172" s="77">
        <v>0</v>
      </c>
      <c r="I172" s="77">
        <v>0</v>
      </c>
      <c r="J172" s="77">
        <v>0</v>
      </c>
      <c r="K172" s="77">
        <f t="shared" si="22"/>
        <v>0</v>
      </c>
    </row>
    <row r="173" spans="1:39" x14ac:dyDescent="0.45">
      <c r="A173" s="83" t="s">
        <v>47</v>
      </c>
      <c r="B173" s="77">
        <v>0</v>
      </c>
      <c r="C173" s="77">
        <v>0</v>
      </c>
      <c r="D173" s="77">
        <v>0</v>
      </c>
      <c r="E173" s="77">
        <v>0</v>
      </c>
      <c r="F173" s="77">
        <v>0</v>
      </c>
      <c r="G173" s="77">
        <v>0</v>
      </c>
      <c r="H173" s="77">
        <v>0</v>
      </c>
      <c r="I173" s="77">
        <v>4</v>
      </c>
      <c r="J173" s="77">
        <v>0</v>
      </c>
      <c r="K173" s="77">
        <f t="shared" si="22"/>
        <v>4</v>
      </c>
      <c r="L173" s="77"/>
      <c r="Z173" s="180"/>
      <c r="AA173" s="1" t="s">
        <v>185</v>
      </c>
      <c r="AB173" s="180"/>
      <c r="AC173" s="180"/>
      <c r="AD173" s="180"/>
      <c r="AE173" s="180"/>
      <c r="AF173" s="86"/>
      <c r="AG173" s="86"/>
      <c r="AH173" s="86"/>
      <c r="AI173" s="86"/>
      <c r="AJ173" s="86"/>
      <c r="AK173" s="86"/>
    </row>
    <row r="174" spans="1:39" x14ac:dyDescent="0.45">
      <c r="A174" s="3" t="s">
        <v>16</v>
      </c>
      <c r="B174" s="77">
        <v>0</v>
      </c>
      <c r="C174" s="77">
        <v>0</v>
      </c>
      <c r="D174" s="77">
        <v>0</v>
      </c>
      <c r="E174" s="77">
        <v>0</v>
      </c>
      <c r="F174" s="77">
        <v>0</v>
      </c>
      <c r="G174" s="77">
        <v>0</v>
      </c>
      <c r="H174" s="77">
        <v>0</v>
      </c>
      <c r="I174" s="77">
        <v>0</v>
      </c>
      <c r="J174" s="77">
        <v>0</v>
      </c>
      <c r="K174" s="77">
        <f t="shared" si="22"/>
        <v>0</v>
      </c>
      <c r="Z174" s="180"/>
      <c r="AA174" s="1" t="s">
        <v>153</v>
      </c>
    </row>
    <row r="175" spans="1:39" x14ac:dyDescent="0.45">
      <c r="A175" s="83" t="s">
        <v>55</v>
      </c>
      <c r="B175" s="77">
        <v>0</v>
      </c>
      <c r="C175" s="77">
        <v>0</v>
      </c>
      <c r="D175" s="77">
        <v>0</v>
      </c>
      <c r="E175" s="77">
        <v>0</v>
      </c>
      <c r="F175" s="77">
        <v>0</v>
      </c>
      <c r="G175" s="77">
        <v>0</v>
      </c>
      <c r="H175" s="77">
        <v>0</v>
      </c>
      <c r="I175" s="77">
        <v>0</v>
      </c>
      <c r="J175" s="77">
        <v>0</v>
      </c>
      <c r="K175" s="77">
        <f t="shared" si="22"/>
        <v>0</v>
      </c>
      <c r="Z175" s="180"/>
      <c r="AA175" s="180"/>
    </row>
    <row r="176" spans="1:39" x14ac:dyDescent="0.45">
      <c r="A176" s="78" t="s">
        <v>17</v>
      </c>
      <c r="B176" s="77">
        <v>0</v>
      </c>
      <c r="C176" s="77">
        <v>0</v>
      </c>
      <c r="D176" s="77">
        <v>0</v>
      </c>
      <c r="E176" s="77">
        <v>0</v>
      </c>
      <c r="F176" s="77">
        <v>0</v>
      </c>
      <c r="G176" s="77">
        <v>0</v>
      </c>
      <c r="H176" s="77">
        <v>0</v>
      </c>
      <c r="I176" s="77">
        <v>0</v>
      </c>
      <c r="J176" s="77">
        <v>0</v>
      </c>
      <c r="K176" s="77">
        <f t="shared" si="22"/>
        <v>0</v>
      </c>
      <c r="Z176" s="180"/>
      <c r="AA176" s="180"/>
      <c r="AB176" s="1" t="s">
        <v>20</v>
      </c>
      <c r="AC176" s="1"/>
      <c r="AD176" s="1"/>
      <c r="AE176" s="1"/>
      <c r="AF176" s="1" t="s">
        <v>21</v>
      </c>
      <c r="AG176" s="1"/>
      <c r="AH176" s="1"/>
      <c r="AI176" s="1"/>
      <c r="AJ176" s="1"/>
      <c r="AK176" s="180"/>
      <c r="AM176" s="180" t="s">
        <v>189</v>
      </c>
    </row>
    <row r="177" spans="1:40" x14ac:dyDescent="0.45">
      <c r="A177" s="11" t="s">
        <v>24</v>
      </c>
      <c r="B177" s="154">
        <f>SUM(B142:B176)</f>
        <v>2</v>
      </c>
      <c r="C177" s="151">
        <f t="shared" ref="C177:K177" si="26">SUM(C142:C176)</f>
        <v>6</v>
      </c>
      <c r="D177" s="151">
        <f t="shared" si="26"/>
        <v>24</v>
      </c>
      <c r="E177" s="151">
        <f t="shared" si="26"/>
        <v>25</v>
      </c>
      <c r="F177" s="151">
        <f t="shared" si="26"/>
        <v>42</v>
      </c>
      <c r="G177" s="151">
        <f t="shared" si="26"/>
        <v>44</v>
      </c>
      <c r="H177" s="151">
        <f t="shared" si="26"/>
        <v>16</v>
      </c>
      <c r="I177" s="151">
        <f t="shared" si="26"/>
        <v>35</v>
      </c>
      <c r="J177" s="151">
        <f t="shared" si="26"/>
        <v>18</v>
      </c>
      <c r="K177" s="151">
        <f t="shared" si="26"/>
        <v>212</v>
      </c>
      <c r="L177" s="17"/>
      <c r="Z177" s="180"/>
      <c r="AA177" s="108" t="s">
        <v>39</v>
      </c>
      <c r="AB177" s="158">
        <v>13</v>
      </c>
      <c r="AC177" s="158">
        <v>18</v>
      </c>
      <c r="AD177" s="158">
        <v>23</v>
      </c>
      <c r="AE177" s="235">
        <v>28</v>
      </c>
      <c r="AF177" s="158">
        <v>3</v>
      </c>
      <c r="AG177" s="158">
        <v>8</v>
      </c>
      <c r="AH177" s="158">
        <v>13</v>
      </c>
      <c r="AI177" s="158">
        <v>18</v>
      </c>
      <c r="AJ177" s="158">
        <v>23</v>
      </c>
      <c r="AK177" s="97" t="s">
        <v>24</v>
      </c>
      <c r="AM177" s="185">
        <v>42849</v>
      </c>
      <c r="AN177" s="185">
        <v>42866</v>
      </c>
    </row>
    <row r="178" spans="1:40" x14ac:dyDescent="0.45">
      <c r="AA178" s="162" t="s">
        <v>1</v>
      </c>
      <c r="AB178" s="86"/>
      <c r="AC178" s="86"/>
      <c r="AD178" s="86"/>
      <c r="AE178" s="86"/>
      <c r="AF178" s="86"/>
      <c r="AG178" s="86">
        <v>2</v>
      </c>
      <c r="AH178" s="86"/>
      <c r="AI178" s="86">
        <v>3</v>
      </c>
      <c r="AJ178" s="86"/>
      <c r="AK178" s="86">
        <f>SUM(AB178:AJ178)</f>
        <v>5</v>
      </c>
      <c r="AM178" s="86"/>
      <c r="AN178" s="86"/>
    </row>
    <row r="179" spans="1:40" x14ac:dyDescent="0.45">
      <c r="Z179" s="180"/>
      <c r="AA179" s="90" t="s">
        <v>145</v>
      </c>
      <c r="AB179" s="86"/>
      <c r="AC179" s="86"/>
      <c r="AD179" s="86"/>
      <c r="AE179" s="86"/>
      <c r="AF179" s="86"/>
      <c r="AG179" s="86"/>
      <c r="AH179" s="86"/>
      <c r="AI179" s="86">
        <v>1</v>
      </c>
      <c r="AJ179" s="86"/>
      <c r="AK179" s="86">
        <f t="shared" ref="AK179:AK211" si="27">SUM(AB179:AJ179)</f>
        <v>1</v>
      </c>
      <c r="AM179" s="86"/>
      <c r="AN179" s="86"/>
    </row>
    <row r="180" spans="1:40" x14ac:dyDescent="0.45">
      <c r="Z180" s="180"/>
      <c r="AA180" s="90" t="s">
        <v>92</v>
      </c>
      <c r="AB180" s="86"/>
      <c r="AC180" s="86"/>
      <c r="AD180" s="86"/>
      <c r="AE180" s="86"/>
      <c r="AF180" s="86"/>
      <c r="AG180" s="86"/>
      <c r="AH180" s="86"/>
      <c r="AI180" s="86"/>
      <c r="AJ180" s="86"/>
      <c r="AK180" s="86">
        <f t="shared" si="27"/>
        <v>0</v>
      </c>
      <c r="AM180" s="86"/>
      <c r="AN180" s="86"/>
    </row>
    <row r="181" spans="1:40" x14ac:dyDescent="0.45">
      <c r="A181" s="1" t="s">
        <v>184</v>
      </c>
      <c r="Z181" s="180"/>
      <c r="AA181" s="90" t="s">
        <v>41</v>
      </c>
      <c r="AB181" s="86"/>
      <c r="AC181" s="86"/>
      <c r="AD181" s="86"/>
      <c r="AE181" s="86"/>
      <c r="AF181" s="86"/>
      <c r="AG181" s="86"/>
      <c r="AH181" s="86"/>
      <c r="AI181" s="86">
        <v>1</v>
      </c>
      <c r="AJ181" s="86"/>
      <c r="AK181" s="86">
        <f t="shared" si="27"/>
        <v>1</v>
      </c>
      <c r="AM181" s="86"/>
      <c r="AN181" s="86"/>
    </row>
    <row r="182" spans="1:40" x14ac:dyDescent="0.45">
      <c r="A182" s="1" t="s">
        <v>138</v>
      </c>
      <c r="Z182" s="180"/>
      <c r="AA182" s="90" t="s">
        <v>2</v>
      </c>
      <c r="AB182" s="86">
        <v>1</v>
      </c>
      <c r="AC182" s="86">
        <v>5</v>
      </c>
      <c r="AD182" s="86">
        <v>10</v>
      </c>
      <c r="AE182" s="86">
        <v>29</v>
      </c>
      <c r="AF182" s="86">
        <v>10</v>
      </c>
      <c r="AG182" s="86">
        <v>6</v>
      </c>
      <c r="AH182" s="86">
        <v>1</v>
      </c>
      <c r="AI182" s="86"/>
      <c r="AJ182" s="86">
        <v>2</v>
      </c>
      <c r="AK182" s="86">
        <f t="shared" si="27"/>
        <v>64</v>
      </c>
      <c r="AM182" s="86">
        <v>24</v>
      </c>
      <c r="AN182" s="86">
        <v>1</v>
      </c>
    </row>
    <row r="183" spans="1:40" x14ac:dyDescent="0.45">
      <c r="Z183" s="180"/>
      <c r="AA183" s="90" t="s">
        <v>43</v>
      </c>
      <c r="AB183" s="86"/>
      <c r="AC183" s="86"/>
      <c r="AD183" s="86"/>
      <c r="AE183" s="86"/>
      <c r="AF183" s="86"/>
      <c r="AG183" s="86"/>
      <c r="AH183" s="86"/>
      <c r="AI183" s="86"/>
      <c r="AJ183" s="86"/>
      <c r="AK183" s="86">
        <f t="shared" si="27"/>
        <v>0</v>
      </c>
      <c r="AM183" s="86"/>
      <c r="AN183" s="86"/>
    </row>
    <row r="184" spans="1:40" x14ac:dyDescent="0.45">
      <c r="A184" s="180"/>
      <c r="B184" s="1" t="s">
        <v>20</v>
      </c>
      <c r="C184" s="180"/>
      <c r="D184" s="180"/>
      <c r="E184" s="180"/>
      <c r="F184" s="1" t="s">
        <v>21</v>
      </c>
      <c r="G184" s="180"/>
      <c r="H184" s="180"/>
      <c r="I184" s="180"/>
      <c r="J184" s="180"/>
      <c r="K184" s="180"/>
      <c r="Z184" s="180"/>
      <c r="AA184" s="90" t="s">
        <v>3</v>
      </c>
      <c r="AB184" s="86">
        <v>24</v>
      </c>
      <c r="AC184" s="86">
        <v>4</v>
      </c>
      <c r="AD184" s="86">
        <v>9</v>
      </c>
      <c r="AE184" s="86">
        <v>1</v>
      </c>
      <c r="AF184" s="86">
        <v>1</v>
      </c>
      <c r="AG184" s="86">
        <v>3</v>
      </c>
      <c r="AH184" s="86">
        <v>4</v>
      </c>
      <c r="AI184" s="86"/>
      <c r="AJ184" s="86">
        <v>1</v>
      </c>
      <c r="AK184" s="86">
        <f t="shared" si="27"/>
        <v>47</v>
      </c>
      <c r="AM184" s="86">
        <v>2</v>
      </c>
      <c r="AN184" s="86">
        <v>3</v>
      </c>
    </row>
    <row r="185" spans="1:40" x14ac:dyDescent="0.45">
      <c r="A185" s="26" t="s">
        <v>19</v>
      </c>
      <c r="B185" s="5">
        <v>13</v>
      </c>
      <c r="C185" s="5">
        <v>18</v>
      </c>
      <c r="D185" s="5">
        <v>23</v>
      </c>
      <c r="E185" s="78">
        <v>28</v>
      </c>
      <c r="F185" s="136">
        <v>3</v>
      </c>
      <c r="G185" s="5">
        <v>8</v>
      </c>
      <c r="H185" s="5">
        <v>13</v>
      </c>
      <c r="I185" s="5">
        <v>18</v>
      </c>
      <c r="J185" s="5">
        <v>23</v>
      </c>
      <c r="K185" s="8" t="s">
        <v>24</v>
      </c>
      <c r="Z185" s="180"/>
      <c r="AA185" s="90" t="s">
        <v>4</v>
      </c>
      <c r="AB185" s="86"/>
      <c r="AC185" s="86"/>
      <c r="AD185" s="86"/>
      <c r="AE185" s="86">
        <v>1</v>
      </c>
      <c r="AF185" s="86"/>
      <c r="AG185" s="86">
        <v>2</v>
      </c>
      <c r="AH185" s="86">
        <v>9</v>
      </c>
      <c r="AI185" s="86">
        <v>3</v>
      </c>
      <c r="AJ185" s="86">
        <v>1</v>
      </c>
      <c r="AK185" s="86">
        <f t="shared" si="27"/>
        <v>16</v>
      </c>
      <c r="AM185" s="86"/>
      <c r="AN185" s="86">
        <v>2</v>
      </c>
    </row>
    <row r="186" spans="1:40" x14ac:dyDescent="0.45">
      <c r="A186" s="3" t="s">
        <v>1</v>
      </c>
      <c r="B186" s="77"/>
      <c r="C186" s="77"/>
      <c r="D186" s="77"/>
      <c r="E186" s="77"/>
      <c r="F186" s="77"/>
      <c r="G186" s="77">
        <v>8</v>
      </c>
      <c r="H186" s="77">
        <v>4</v>
      </c>
      <c r="I186" s="77">
        <v>16</v>
      </c>
      <c r="J186" s="77"/>
      <c r="K186" s="77">
        <f t="shared" ref="K186:K220" si="28">SUM(B186:J186)</f>
        <v>28</v>
      </c>
      <c r="Z186" s="180"/>
      <c r="AA186" s="90" t="s">
        <v>48</v>
      </c>
      <c r="AB186" s="86"/>
      <c r="AC186" s="86"/>
      <c r="AD186" s="86"/>
      <c r="AE186" s="86"/>
      <c r="AF186" s="86"/>
      <c r="AG186" s="86"/>
      <c r="AH186" s="86"/>
      <c r="AI186" s="86"/>
      <c r="AJ186" s="86"/>
      <c r="AK186" s="86">
        <f t="shared" si="27"/>
        <v>0</v>
      </c>
      <c r="AM186" s="86"/>
      <c r="AN186" s="86"/>
    </row>
    <row r="187" spans="1:40" x14ac:dyDescent="0.45">
      <c r="A187" s="83" t="s">
        <v>49</v>
      </c>
      <c r="B187" s="77"/>
      <c r="C187" s="77"/>
      <c r="D187" s="77"/>
      <c r="E187" s="77"/>
      <c r="F187" s="77"/>
      <c r="G187" s="77"/>
      <c r="H187" s="77"/>
      <c r="I187" s="77"/>
      <c r="J187" s="77"/>
      <c r="K187" s="77">
        <f t="shared" si="28"/>
        <v>0</v>
      </c>
      <c r="Z187" s="180"/>
      <c r="AA187" s="90" t="s">
        <v>6</v>
      </c>
      <c r="AB187" s="86"/>
      <c r="AC187" s="86"/>
      <c r="AD187" s="86"/>
      <c r="AE187" s="86"/>
      <c r="AF187" s="86"/>
      <c r="AG187" s="86"/>
      <c r="AH187" s="86"/>
      <c r="AI187" s="86"/>
      <c r="AJ187" s="86"/>
      <c r="AK187" s="86">
        <f t="shared" si="27"/>
        <v>0</v>
      </c>
      <c r="AM187" s="86"/>
      <c r="AN187" s="86"/>
    </row>
    <row r="188" spans="1:40" x14ac:dyDescent="0.45">
      <c r="A188" s="83" t="s">
        <v>45</v>
      </c>
      <c r="B188" s="77"/>
      <c r="C188" s="77"/>
      <c r="D188" s="77"/>
      <c r="E188" s="77"/>
      <c r="F188" s="77"/>
      <c r="G188" s="77"/>
      <c r="H188" s="77"/>
      <c r="I188" s="77"/>
      <c r="J188" s="77"/>
      <c r="K188" s="77">
        <f t="shared" si="28"/>
        <v>0</v>
      </c>
      <c r="Z188" s="180"/>
      <c r="AA188" s="90" t="s">
        <v>7</v>
      </c>
      <c r="AB188" s="86"/>
      <c r="AC188" s="86"/>
      <c r="AD188" s="86"/>
      <c r="AE188" s="86"/>
      <c r="AF188" s="86"/>
      <c r="AG188" s="86">
        <v>1</v>
      </c>
      <c r="AH188" s="86"/>
      <c r="AI188" s="86">
        <v>3</v>
      </c>
      <c r="AJ188" s="86">
        <v>1</v>
      </c>
      <c r="AK188" s="86">
        <f t="shared" si="27"/>
        <v>5</v>
      </c>
      <c r="AM188" s="86"/>
      <c r="AN188" s="86">
        <v>1</v>
      </c>
    </row>
    <row r="189" spans="1:40" x14ac:dyDescent="0.45">
      <c r="A189" s="83" t="s">
        <v>41</v>
      </c>
      <c r="B189" s="77"/>
      <c r="C189" s="77"/>
      <c r="D189" s="77"/>
      <c r="E189" s="77">
        <v>12</v>
      </c>
      <c r="F189" s="77"/>
      <c r="G189" s="77">
        <v>3</v>
      </c>
      <c r="H189" s="77">
        <v>1</v>
      </c>
      <c r="I189" s="77"/>
      <c r="J189" s="77"/>
      <c r="K189" s="77">
        <f t="shared" si="28"/>
        <v>16</v>
      </c>
      <c r="Z189" s="180"/>
      <c r="AA189" s="90" t="s">
        <v>50</v>
      </c>
      <c r="AB189" s="86"/>
      <c r="AC189" s="86"/>
      <c r="AD189" s="86"/>
      <c r="AE189" s="86"/>
      <c r="AF189" s="86"/>
      <c r="AG189" s="86"/>
      <c r="AH189" s="86"/>
      <c r="AI189" s="86"/>
      <c r="AJ189" s="86"/>
      <c r="AK189" s="86">
        <f t="shared" si="27"/>
        <v>0</v>
      </c>
      <c r="AM189" s="86"/>
      <c r="AN189" s="86"/>
    </row>
    <row r="190" spans="1:40" x14ac:dyDescent="0.45">
      <c r="A190" s="3" t="s">
        <v>2</v>
      </c>
      <c r="B190" s="77"/>
      <c r="C190" s="77"/>
      <c r="D190" s="77"/>
      <c r="E190" s="77">
        <v>6</v>
      </c>
      <c r="F190" s="77">
        <v>7</v>
      </c>
      <c r="G190" s="77">
        <v>6</v>
      </c>
      <c r="H190" s="77"/>
      <c r="I190" s="77"/>
      <c r="J190" s="77"/>
      <c r="K190" s="77">
        <f t="shared" si="28"/>
        <v>19</v>
      </c>
      <c r="Z190" s="180"/>
      <c r="AA190" s="90" t="s">
        <v>51</v>
      </c>
      <c r="AB190" s="86"/>
      <c r="AC190" s="86"/>
      <c r="AD190" s="86"/>
      <c r="AE190" s="86">
        <v>1</v>
      </c>
      <c r="AF190" s="86">
        <v>2</v>
      </c>
      <c r="AG190" s="86">
        <v>2</v>
      </c>
      <c r="AH190" s="86">
        <v>3</v>
      </c>
      <c r="AI190" s="86">
        <v>4</v>
      </c>
      <c r="AJ190" s="86">
        <v>2</v>
      </c>
      <c r="AK190" s="86">
        <f t="shared" si="27"/>
        <v>14</v>
      </c>
      <c r="AM190" s="86"/>
      <c r="AN190" s="86"/>
    </row>
    <row r="191" spans="1:40" x14ac:dyDescent="0.45">
      <c r="A191" s="83" t="s">
        <v>43</v>
      </c>
      <c r="B191" s="77"/>
      <c r="C191" s="77"/>
      <c r="D191" s="77"/>
      <c r="E191" s="77"/>
      <c r="F191" s="77"/>
      <c r="G191" s="77"/>
      <c r="H191" s="77"/>
      <c r="I191" s="77"/>
      <c r="J191" s="77"/>
      <c r="K191" s="77">
        <f t="shared" si="28"/>
        <v>0</v>
      </c>
      <c r="Z191" s="180"/>
      <c r="AA191" s="90" t="s">
        <v>42</v>
      </c>
      <c r="AB191" s="86"/>
      <c r="AC191" s="86"/>
      <c r="AD191" s="86"/>
      <c r="AE191" s="86"/>
      <c r="AF191" s="86"/>
      <c r="AG191" s="86"/>
      <c r="AH191" s="86"/>
      <c r="AI191" s="86"/>
      <c r="AJ191" s="86"/>
      <c r="AK191" s="86">
        <f t="shared" si="27"/>
        <v>0</v>
      </c>
      <c r="AM191" s="86"/>
      <c r="AN191" s="86"/>
    </row>
    <row r="192" spans="1:40" x14ac:dyDescent="0.45">
      <c r="A192" s="3" t="s">
        <v>3</v>
      </c>
      <c r="B192" s="77">
        <v>5</v>
      </c>
      <c r="C192" s="77">
        <v>12</v>
      </c>
      <c r="D192" s="77">
        <v>9</v>
      </c>
      <c r="E192" s="77">
        <v>11</v>
      </c>
      <c r="F192" s="77">
        <v>1</v>
      </c>
      <c r="G192" s="77">
        <v>7</v>
      </c>
      <c r="H192" s="77">
        <v>6</v>
      </c>
      <c r="I192" s="77">
        <v>1</v>
      </c>
      <c r="J192" s="77">
        <v>2</v>
      </c>
      <c r="K192" s="77">
        <f t="shared" si="28"/>
        <v>54</v>
      </c>
      <c r="Z192" s="180"/>
      <c r="AA192" s="90" t="s">
        <v>8</v>
      </c>
      <c r="AB192" s="86"/>
      <c r="AC192" s="86"/>
      <c r="AD192" s="86"/>
      <c r="AE192" s="86"/>
      <c r="AF192" s="86"/>
      <c r="AG192" s="86"/>
      <c r="AH192" s="86"/>
      <c r="AI192" s="86"/>
      <c r="AJ192" s="86"/>
      <c r="AK192" s="86">
        <f t="shared" si="27"/>
        <v>0</v>
      </c>
      <c r="AM192" s="86"/>
      <c r="AN192" s="86"/>
    </row>
    <row r="193" spans="1:40" x14ac:dyDescent="0.45">
      <c r="A193" s="3" t="s">
        <v>4</v>
      </c>
      <c r="B193" s="77"/>
      <c r="C193" s="77"/>
      <c r="D193" s="77"/>
      <c r="E193" s="77">
        <v>1</v>
      </c>
      <c r="F193" s="77"/>
      <c r="G193" s="77">
        <v>3</v>
      </c>
      <c r="H193" s="77">
        <v>1</v>
      </c>
      <c r="I193" s="77">
        <v>2</v>
      </c>
      <c r="J193" s="77"/>
      <c r="K193" s="77">
        <f t="shared" si="28"/>
        <v>7</v>
      </c>
      <c r="Z193" s="180"/>
      <c r="AA193" s="90" t="s">
        <v>9</v>
      </c>
      <c r="AB193" s="86"/>
      <c r="AC193" s="86"/>
      <c r="AD193" s="86"/>
      <c r="AE193" s="86"/>
      <c r="AF193" s="86"/>
      <c r="AG193" s="86"/>
      <c r="AH193" s="86"/>
      <c r="AI193" s="86"/>
      <c r="AJ193" s="86"/>
      <c r="AK193" s="86">
        <f t="shared" si="27"/>
        <v>0</v>
      </c>
      <c r="AM193" s="86"/>
      <c r="AN193" s="86"/>
    </row>
    <row r="194" spans="1:40" x14ac:dyDescent="0.45">
      <c r="A194" s="83" t="s">
        <v>48</v>
      </c>
      <c r="B194" s="77"/>
      <c r="C194" s="77"/>
      <c r="D194" s="77"/>
      <c r="E194" s="77"/>
      <c r="F194" s="77"/>
      <c r="G194" s="77"/>
      <c r="H194" s="77"/>
      <c r="I194" s="77"/>
      <c r="J194" s="77"/>
      <c r="K194" s="77">
        <f t="shared" si="28"/>
        <v>0</v>
      </c>
      <c r="Z194" s="12"/>
      <c r="AA194" s="90" t="s">
        <v>44</v>
      </c>
      <c r="AB194" s="86"/>
      <c r="AC194" s="86"/>
      <c r="AD194" s="86"/>
      <c r="AE194" s="86"/>
      <c r="AF194" s="86"/>
      <c r="AG194" s="86"/>
      <c r="AH194" s="86"/>
      <c r="AI194" s="86">
        <v>1</v>
      </c>
      <c r="AJ194" s="86"/>
      <c r="AK194" s="86">
        <f t="shared" si="27"/>
        <v>1</v>
      </c>
      <c r="AM194" s="86"/>
      <c r="AN194" s="86"/>
    </row>
    <row r="195" spans="1:40" x14ac:dyDescent="0.45">
      <c r="A195" s="3" t="s">
        <v>6</v>
      </c>
      <c r="B195" s="77"/>
      <c r="C195" s="77"/>
      <c r="D195" s="77"/>
      <c r="E195" s="77"/>
      <c r="F195" s="77"/>
      <c r="G195" s="77"/>
      <c r="H195" s="77"/>
      <c r="I195" s="77"/>
      <c r="J195" s="77">
        <v>1</v>
      </c>
      <c r="K195" s="77">
        <f t="shared" si="28"/>
        <v>1</v>
      </c>
      <c r="Z195" s="12"/>
      <c r="AA195" s="90" t="s">
        <v>10</v>
      </c>
      <c r="AB195" s="86"/>
      <c r="AC195" s="86"/>
      <c r="AD195" s="86"/>
      <c r="AE195" s="86"/>
      <c r="AF195" s="86"/>
      <c r="AG195" s="86"/>
      <c r="AH195" s="86"/>
      <c r="AI195" s="86"/>
      <c r="AJ195" s="86"/>
      <c r="AK195" s="86">
        <f t="shared" si="27"/>
        <v>0</v>
      </c>
      <c r="AM195" s="86"/>
      <c r="AN195" s="86"/>
    </row>
    <row r="196" spans="1:40" x14ac:dyDescent="0.45">
      <c r="A196" s="3" t="s">
        <v>7</v>
      </c>
      <c r="B196" s="77"/>
      <c r="C196" s="77"/>
      <c r="D196" s="77"/>
      <c r="E196" s="77"/>
      <c r="F196" s="77">
        <v>9</v>
      </c>
      <c r="G196" s="77"/>
      <c r="H196" s="77"/>
      <c r="I196" s="77"/>
      <c r="J196" s="77"/>
      <c r="K196" s="77">
        <f t="shared" si="28"/>
        <v>9</v>
      </c>
      <c r="AA196" s="90" t="s">
        <v>11</v>
      </c>
      <c r="AB196" s="86"/>
      <c r="AC196" s="86"/>
      <c r="AD196" s="86">
        <v>1</v>
      </c>
      <c r="AE196" s="86">
        <v>5</v>
      </c>
      <c r="AF196" s="86">
        <v>600</v>
      </c>
      <c r="AG196" s="86">
        <v>800</v>
      </c>
      <c r="AH196" s="86">
        <v>900</v>
      </c>
      <c r="AI196" s="86">
        <v>250</v>
      </c>
      <c r="AJ196" s="86">
        <v>1</v>
      </c>
      <c r="AK196" s="86">
        <f t="shared" si="27"/>
        <v>2557</v>
      </c>
      <c r="AM196" s="86">
        <v>17</v>
      </c>
      <c r="AN196" s="86">
        <v>5000</v>
      </c>
    </row>
    <row r="197" spans="1:40" x14ac:dyDescent="0.45">
      <c r="A197" s="101" t="s">
        <v>83</v>
      </c>
      <c r="B197" s="77"/>
      <c r="C197" s="77"/>
      <c r="D197" s="77"/>
      <c r="E197" s="77"/>
      <c r="F197" s="77"/>
      <c r="G197" s="77"/>
      <c r="H197" s="77"/>
      <c r="I197" s="77"/>
      <c r="J197" s="77"/>
      <c r="K197" s="77"/>
      <c r="AA197" s="90" t="s">
        <v>12</v>
      </c>
      <c r="AB197" s="86"/>
      <c r="AC197" s="86"/>
      <c r="AD197" s="86"/>
      <c r="AE197" s="86"/>
      <c r="AF197" s="86"/>
      <c r="AG197" s="86">
        <v>3</v>
      </c>
      <c r="AH197" s="86"/>
      <c r="AI197" s="86">
        <v>1</v>
      </c>
      <c r="AJ197" s="86"/>
      <c r="AK197" s="86">
        <f t="shared" si="27"/>
        <v>4</v>
      </c>
      <c r="AM197" s="86"/>
      <c r="AN197" s="86"/>
    </row>
    <row r="198" spans="1:40" x14ac:dyDescent="0.45">
      <c r="A198" s="83" t="s">
        <v>50</v>
      </c>
      <c r="B198" s="77"/>
      <c r="C198" s="77"/>
      <c r="D198" s="77"/>
      <c r="E198" s="77"/>
      <c r="F198" s="77"/>
      <c r="G198" s="77"/>
      <c r="H198" s="77"/>
      <c r="I198" s="77"/>
      <c r="J198" s="77"/>
      <c r="K198" s="77">
        <f t="shared" si="28"/>
        <v>0</v>
      </c>
      <c r="AA198" s="90" t="s">
        <v>32</v>
      </c>
      <c r="AB198" s="86"/>
      <c r="AC198" s="86"/>
      <c r="AD198" s="86">
        <v>2</v>
      </c>
      <c r="AE198" s="86"/>
      <c r="AF198" s="86"/>
      <c r="AG198" s="86"/>
      <c r="AH198" s="86"/>
      <c r="AI198" s="86"/>
      <c r="AJ198" s="86"/>
      <c r="AK198" s="86">
        <f t="shared" si="27"/>
        <v>2</v>
      </c>
      <c r="AM198" s="86"/>
      <c r="AN198" s="86"/>
    </row>
    <row r="199" spans="1:40" x14ac:dyDescent="0.45">
      <c r="A199" s="83" t="s">
        <v>51</v>
      </c>
      <c r="B199" s="77"/>
      <c r="C199" s="77"/>
      <c r="D199" s="77"/>
      <c r="E199" s="77"/>
      <c r="F199" s="77"/>
      <c r="G199" s="77"/>
      <c r="H199" s="77"/>
      <c r="I199" s="77"/>
      <c r="J199" s="77"/>
      <c r="K199" s="77">
        <f t="shared" si="28"/>
        <v>0</v>
      </c>
      <c r="AA199" s="90" t="s">
        <v>146</v>
      </c>
      <c r="AB199" s="86"/>
      <c r="AC199" s="86"/>
      <c r="AD199" s="86"/>
      <c r="AE199" s="86"/>
      <c r="AF199" s="86"/>
      <c r="AG199" s="86"/>
      <c r="AH199" s="86"/>
      <c r="AI199" s="86"/>
      <c r="AJ199" s="86"/>
      <c r="AK199" s="86">
        <f t="shared" si="27"/>
        <v>0</v>
      </c>
      <c r="AM199" s="86"/>
      <c r="AN199" s="86"/>
    </row>
    <row r="200" spans="1:40" x14ac:dyDescent="0.45">
      <c r="A200" s="83" t="s">
        <v>42</v>
      </c>
      <c r="B200" s="77"/>
      <c r="C200" s="77"/>
      <c r="D200" s="77"/>
      <c r="E200" s="77"/>
      <c r="F200" s="77"/>
      <c r="G200" s="77"/>
      <c r="H200" s="77">
        <v>1</v>
      </c>
      <c r="I200" s="77"/>
      <c r="J200" s="77"/>
      <c r="K200" s="77">
        <f t="shared" si="28"/>
        <v>1</v>
      </c>
      <c r="AA200" s="90" t="s">
        <v>46</v>
      </c>
      <c r="AB200" s="86"/>
      <c r="AC200" s="86"/>
      <c r="AD200" s="86"/>
      <c r="AE200" s="86"/>
      <c r="AF200" s="86"/>
      <c r="AG200" s="86"/>
      <c r="AH200" s="86"/>
      <c r="AI200" s="86"/>
      <c r="AJ200" s="86"/>
      <c r="AK200" s="86">
        <f t="shared" si="27"/>
        <v>0</v>
      </c>
      <c r="AM200" s="86"/>
      <c r="AN200" s="86"/>
    </row>
    <row r="201" spans="1:40" x14ac:dyDescent="0.45">
      <c r="A201" s="3" t="s">
        <v>8</v>
      </c>
      <c r="B201" s="77"/>
      <c r="C201" s="77"/>
      <c r="D201" s="77"/>
      <c r="E201" s="77"/>
      <c r="F201" s="77"/>
      <c r="G201" s="77"/>
      <c r="H201" s="77"/>
      <c r="I201" s="77"/>
      <c r="J201" s="77"/>
      <c r="K201" s="77">
        <f t="shared" si="28"/>
        <v>0</v>
      </c>
      <c r="AA201" s="90" t="s">
        <v>13</v>
      </c>
      <c r="AB201" s="86"/>
      <c r="AC201" s="86"/>
      <c r="AD201" s="86"/>
      <c r="AE201" s="86"/>
      <c r="AF201" s="86"/>
      <c r="AG201" s="86"/>
      <c r="AH201" s="86"/>
      <c r="AI201" s="86"/>
      <c r="AJ201" s="86"/>
      <c r="AK201" s="86">
        <f t="shared" si="27"/>
        <v>0</v>
      </c>
      <c r="AM201" s="86"/>
      <c r="AN201" s="86"/>
    </row>
    <row r="202" spans="1:40" x14ac:dyDescent="0.45">
      <c r="A202" s="3" t="s">
        <v>9</v>
      </c>
      <c r="B202" s="77"/>
      <c r="C202" s="77"/>
      <c r="D202" s="77"/>
      <c r="E202" s="77"/>
      <c r="F202" s="77"/>
      <c r="G202" s="77"/>
      <c r="H202" s="77"/>
      <c r="I202" s="77"/>
      <c r="J202" s="77"/>
      <c r="K202" s="77">
        <f t="shared" si="28"/>
        <v>0</v>
      </c>
      <c r="AA202" s="90" t="s">
        <v>14</v>
      </c>
      <c r="AB202" s="86"/>
      <c r="AC202" s="86"/>
      <c r="AD202" s="86">
        <v>1</v>
      </c>
      <c r="AE202" s="86"/>
      <c r="AF202" s="86">
        <v>15</v>
      </c>
      <c r="AG202" s="86">
        <v>75</v>
      </c>
      <c r="AH202" s="86">
        <v>30</v>
      </c>
      <c r="AI202" s="86">
        <v>12</v>
      </c>
      <c r="AJ202" s="86"/>
      <c r="AK202" s="86">
        <f t="shared" si="27"/>
        <v>133</v>
      </c>
      <c r="AM202" s="86">
        <v>5</v>
      </c>
      <c r="AN202" s="86">
        <v>200</v>
      </c>
    </row>
    <row r="203" spans="1:40" x14ac:dyDescent="0.45">
      <c r="A203" s="83" t="s">
        <v>44</v>
      </c>
      <c r="B203" s="77"/>
      <c r="C203" s="77"/>
      <c r="D203" s="77"/>
      <c r="E203" s="77">
        <v>2</v>
      </c>
      <c r="F203" s="77">
        <v>2</v>
      </c>
      <c r="G203" s="77"/>
      <c r="H203" s="77"/>
      <c r="I203" s="77"/>
      <c r="J203" s="77"/>
      <c r="K203" s="77">
        <f t="shared" si="28"/>
        <v>4</v>
      </c>
      <c r="AA203" s="90" t="s">
        <v>40</v>
      </c>
      <c r="AB203" s="86">
        <v>2</v>
      </c>
      <c r="AC203" s="86"/>
      <c r="AD203" s="86"/>
      <c r="AE203" s="86"/>
      <c r="AF203" s="86"/>
      <c r="AG203" s="86"/>
      <c r="AH203" s="86"/>
      <c r="AI203" s="86"/>
      <c r="AJ203" s="86"/>
      <c r="AK203" s="86">
        <f t="shared" si="27"/>
        <v>2</v>
      </c>
      <c r="AM203" s="86"/>
      <c r="AN203" s="86"/>
    </row>
    <row r="204" spans="1:40" x14ac:dyDescent="0.45">
      <c r="A204" s="3" t="s">
        <v>10</v>
      </c>
      <c r="B204" s="77"/>
      <c r="C204" s="77"/>
      <c r="D204" s="77"/>
      <c r="E204" s="77"/>
      <c r="F204" s="77">
        <v>2</v>
      </c>
      <c r="G204" s="77">
        <v>3</v>
      </c>
      <c r="H204" s="77"/>
      <c r="I204" s="77"/>
      <c r="J204" s="77"/>
      <c r="K204" s="77">
        <f t="shared" si="28"/>
        <v>5</v>
      </c>
      <c r="AA204" s="90" t="s">
        <v>52</v>
      </c>
      <c r="AB204" s="86"/>
      <c r="AC204" s="86"/>
      <c r="AD204" s="86"/>
      <c r="AE204" s="86"/>
      <c r="AF204" s="86"/>
      <c r="AG204" s="86"/>
      <c r="AH204" s="86"/>
      <c r="AI204" s="86"/>
      <c r="AJ204" s="86"/>
      <c r="AK204" s="86">
        <f t="shared" si="27"/>
        <v>0</v>
      </c>
      <c r="AM204" s="86"/>
      <c r="AN204" s="86"/>
    </row>
    <row r="205" spans="1:40" x14ac:dyDescent="0.45">
      <c r="A205" s="3" t="s">
        <v>11</v>
      </c>
      <c r="B205" s="77"/>
      <c r="C205" s="77"/>
      <c r="D205" s="77">
        <v>1</v>
      </c>
      <c r="E205" s="77">
        <v>3</v>
      </c>
      <c r="F205" s="77">
        <v>88</v>
      </c>
      <c r="G205" s="77">
        <v>87</v>
      </c>
      <c r="H205" s="77">
        <v>2</v>
      </c>
      <c r="I205" s="77">
        <v>38</v>
      </c>
      <c r="J205" s="77"/>
      <c r="K205" s="77">
        <f t="shared" si="28"/>
        <v>219</v>
      </c>
      <c r="AA205" s="90" t="s">
        <v>53</v>
      </c>
      <c r="AB205" s="86"/>
      <c r="AC205" s="86"/>
      <c r="AD205" s="86"/>
      <c r="AE205" s="86"/>
      <c r="AF205" s="86"/>
      <c r="AG205" s="86"/>
      <c r="AH205" s="86"/>
      <c r="AI205" s="86"/>
      <c r="AJ205" s="86"/>
      <c r="AK205" s="86">
        <f t="shared" si="27"/>
        <v>0</v>
      </c>
      <c r="AM205" s="86"/>
      <c r="AN205" s="86"/>
    </row>
    <row r="206" spans="1:40" x14ac:dyDescent="0.45">
      <c r="A206" s="3" t="s">
        <v>12</v>
      </c>
      <c r="B206" s="77"/>
      <c r="C206" s="77"/>
      <c r="D206" s="77"/>
      <c r="E206" s="77"/>
      <c r="F206" s="77">
        <v>3</v>
      </c>
      <c r="G206" s="77">
        <v>4</v>
      </c>
      <c r="H206" s="77">
        <v>1</v>
      </c>
      <c r="I206" s="77">
        <v>4</v>
      </c>
      <c r="J206" s="77"/>
      <c r="K206" s="77">
        <f t="shared" si="28"/>
        <v>12</v>
      </c>
      <c r="AA206" s="90" t="s">
        <v>15</v>
      </c>
      <c r="AB206" s="86"/>
      <c r="AC206" s="86"/>
      <c r="AD206" s="86"/>
      <c r="AE206" s="86">
        <v>17</v>
      </c>
      <c r="AF206" s="86">
        <v>14</v>
      </c>
      <c r="AG206" s="86">
        <v>14</v>
      </c>
      <c r="AH206" s="86">
        <v>72</v>
      </c>
      <c r="AI206" s="86">
        <v>26</v>
      </c>
      <c r="AJ206" s="86">
        <v>15</v>
      </c>
      <c r="AK206" s="86">
        <f t="shared" si="27"/>
        <v>158</v>
      </c>
      <c r="AM206" s="86"/>
      <c r="AN206" s="86">
        <v>25</v>
      </c>
    </row>
    <row r="207" spans="1:40" x14ac:dyDescent="0.45">
      <c r="A207" s="83" t="s">
        <v>32</v>
      </c>
      <c r="B207" s="77"/>
      <c r="C207" s="77"/>
      <c r="D207" s="77"/>
      <c r="E207" s="77"/>
      <c r="F207" s="77"/>
      <c r="G207" s="77">
        <v>5</v>
      </c>
      <c r="H207" s="77"/>
      <c r="I207" s="77">
        <v>3</v>
      </c>
      <c r="J207" s="77"/>
      <c r="K207" s="77">
        <f t="shared" si="28"/>
        <v>8</v>
      </c>
      <c r="AA207" s="90" t="s">
        <v>54</v>
      </c>
      <c r="AB207" s="86"/>
      <c r="AC207" s="86"/>
      <c r="AD207" s="86"/>
      <c r="AE207" s="86"/>
      <c r="AF207" s="86"/>
      <c r="AG207" s="86"/>
      <c r="AH207" s="86"/>
      <c r="AI207" s="86"/>
      <c r="AJ207" s="86"/>
      <c r="AK207" s="86">
        <f t="shared" si="27"/>
        <v>0</v>
      </c>
      <c r="AM207" s="86"/>
      <c r="AN207" s="86"/>
    </row>
    <row r="208" spans="1:40" x14ac:dyDescent="0.45">
      <c r="A208" s="3" t="s">
        <v>18</v>
      </c>
      <c r="B208" s="77"/>
      <c r="C208" s="77"/>
      <c r="D208" s="77"/>
      <c r="E208" s="77"/>
      <c r="F208" s="77">
        <v>1200</v>
      </c>
      <c r="G208" s="77">
        <v>89</v>
      </c>
      <c r="H208" s="77">
        <v>30</v>
      </c>
      <c r="I208" s="77">
        <v>45</v>
      </c>
      <c r="J208" s="77"/>
      <c r="K208" s="77">
        <f t="shared" si="28"/>
        <v>1364</v>
      </c>
      <c r="AA208" s="90" t="s">
        <v>47</v>
      </c>
      <c r="AB208" s="86"/>
      <c r="AC208" s="86"/>
      <c r="AD208" s="86"/>
      <c r="AE208" s="86"/>
      <c r="AF208" s="86"/>
      <c r="AG208" s="86"/>
      <c r="AH208" s="86"/>
      <c r="AI208" s="86"/>
      <c r="AJ208" s="86"/>
      <c r="AK208" s="86">
        <f t="shared" si="27"/>
        <v>0</v>
      </c>
      <c r="AM208" s="86"/>
      <c r="AN208" s="86"/>
    </row>
    <row r="209" spans="1:41" x14ac:dyDescent="0.45">
      <c r="A209" s="83" t="s">
        <v>46</v>
      </c>
      <c r="B209" s="77"/>
      <c r="C209" s="77"/>
      <c r="D209" s="77"/>
      <c r="E209" s="77"/>
      <c r="F209" s="77"/>
      <c r="G209" s="77"/>
      <c r="H209" s="77"/>
      <c r="I209" s="77"/>
      <c r="J209" s="77"/>
      <c r="K209" s="77">
        <f t="shared" si="28"/>
        <v>0</v>
      </c>
      <c r="AA209" s="90" t="s">
        <v>16</v>
      </c>
      <c r="AB209" s="86"/>
      <c r="AC209" s="86"/>
      <c r="AD209" s="86"/>
      <c r="AE209" s="86">
        <v>1</v>
      </c>
      <c r="AF209" s="86">
        <v>1</v>
      </c>
      <c r="AG209" s="86"/>
      <c r="AH209" s="86"/>
      <c r="AI209" s="86">
        <v>2</v>
      </c>
      <c r="AJ209" s="86"/>
      <c r="AK209" s="86">
        <f t="shared" si="27"/>
        <v>4</v>
      </c>
      <c r="AM209" s="86"/>
      <c r="AN209" s="86"/>
    </row>
    <row r="210" spans="1:41" x14ac:dyDescent="0.45">
      <c r="A210" s="3" t="s">
        <v>13</v>
      </c>
      <c r="B210" s="77"/>
      <c r="C210" s="77"/>
      <c r="D210" s="77"/>
      <c r="E210" s="77">
        <v>2</v>
      </c>
      <c r="F210" s="77">
        <v>1</v>
      </c>
      <c r="G210" s="77"/>
      <c r="H210" s="77">
        <v>2</v>
      </c>
      <c r="I210" s="77">
        <v>1</v>
      </c>
      <c r="J210" s="77"/>
      <c r="K210" s="77">
        <f t="shared" si="28"/>
        <v>6</v>
      </c>
      <c r="AA210" s="90" t="s">
        <v>17</v>
      </c>
      <c r="AB210" s="86"/>
      <c r="AC210" s="86"/>
      <c r="AD210" s="86"/>
      <c r="AE210" s="86"/>
      <c r="AF210" s="86"/>
      <c r="AG210" s="86"/>
      <c r="AH210" s="86"/>
      <c r="AI210" s="86"/>
      <c r="AJ210" s="86"/>
      <c r="AK210" s="86">
        <f t="shared" si="27"/>
        <v>0</v>
      </c>
      <c r="AM210" s="86"/>
      <c r="AN210" s="86"/>
    </row>
    <row r="211" spans="1:41" x14ac:dyDescent="0.45">
      <c r="A211" s="3" t="s">
        <v>14</v>
      </c>
      <c r="B211" s="77"/>
      <c r="C211" s="77"/>
      <c r="D211" s="77"/>
      <c r="E211" s="77"/>
      <c r="F211" s="77">
        <v>16</v>
      </c>
      <c r="G211" s="77">
        <v>30</v>
      </c>
      <c r="H211" s="77"/>
      <c r="I211" s="77">
        <v>1</v>
      </c>
      <c r="J211" s="77"/>
      <c r="K211" s="77">
        <f t="shared" si="28"/>
        <v>47</v>
      </c>
      <c r="AA211" s="186" t="s">
        <v>144</v>
      </c>
      <c r="AB211" s="160">
        <f>SUM(AB178:AB210)</f>
        <v>27</v>
      </c>
      <c r="AC211" s="160">
        <f t="shared" ref="AC211:AJ211" si="29">SUM(AC178:AC210)</f>
        <v>9</v>
      </c>
      <c r="AD211" s="160">
        <f t="shared" si="29"/>
        <v>23</v>
      </c>
      <c r="AE211" s="160">
        <f t="shared" si="29"/>
        <v>55</v>
      </c>
      <c r="AF211" s="160">
        <f t="shared" si="29"/>
        <v>643</v>
      </c>
      <c r="AG211" s="160">
        <f t="shared" si="29"/>
        <v>908</v>
      </c>
      <c r="AH211" s="160">
        <f t="shared" si="29"/>
        <v>1019</v>
      </c>
      <c r="AI211" s="160">
        <f t="shared" si="29"/>
        <v>307</v>
      </c>
      <c r="AJ211" s="160">
        <f t="shared" si="29"/>
        <v>23</v>
      </c>
      <c r="AK211" s="160">
        <f t="shared" si="27"/>
        <v>3014</v>
      </c>
      <c r="AL211" s="142">
        <f>SUM(AK178:AK210)</f>
        <v>3014</v>
      </c>
      <c r="AM211" s="160">
        <f t="shared" ref="AM211:AN211" si="30">SUM(AM178:AM210)</f>
        <v>48</v>
      </c>
      <c r="AN211" s="160">
        <f t="shared" si="30"/>
        <v>5232</v>
      </c>
    </row>
    <row r="212" spans="1:41" x14ac:dyDescent="0.45">
      <c r="A212" s="83" t="s">
        <v>40</v>
      </c>
      <c r="B212" s="77"/>
      <c r="C212" s="77"/>
      <c r="D212" s="77"/>
      <c r="E212" s="77"/>
      <c r="F212" s="77"/>
      <c r="G212" s="77"/>
      <c r="H212" s="77"/>
      <c r="I212" s="77"/>
      <c r="J212" s="77"/>
      <c r="K212" s="77">
        <f t="shared" si="28"/>
        <v>0</v>
      </c>
    </row>
    <row r="213" spans="1:41" x14ac:dyDescent="0.45">
      <c r="A213" s="83" t="s">
        <v>52</v>
      </c>
      <c r="B213" s="77"/>
      <c r="C213" s="77"/>
      <c r="D213" s="77"/>
      <c r="E213" s="77"/>
      <c r="F213" s="77"/>
      <c r="G213" s="77"/>
      <c r="H213" s="77"/>
      <c r="I213" s="77"/>
      <c r="J213" s="77"/>
      <c r="K213" s="77">
        <f t="shared" si="28"/>
        <v>0</v>
      </c>
    </row>
    <row r="214" spans="1:41" x14ac:dyDescent="0.45">
      <c r="A214" s="83" t="s">
        <v>53</v>
      </c>
      <c r="B214" s="77"/>
      <c r="C214" s="77"/>
      <c r="D214" s="77"/>
      <c r="E214" s="77"/>
      <c r="F214" s="77"/>
      <c r="G214" s="77"/>
      <c r="H214" s="77"/>
      <c r="I214" s="77"/>
      <c r="J214" s="77"/>
      <c r="K214" s="77">
        <f t="shared" si="28"/>
        <v>0</v>
      </c>
      <c r="AB214" s="180"/>
      <c r="AC214" s="180"/>
      <c r="AD214" s="180"/>
      <c r="AE214" s="180"/>
      <c r="AF214" s="86"/>
      <c r="AG214" s="86"/>
      <c r="AH214" s="86"/>
      <c r="AI214" s="86"/>
      <c r="AJ214" s="86"/>
      <c r="AK214" s="86"/>
    </row>
    <row r="215" spans="1:41" x14ac:dyDescent="0.45">
      <c r="A215" s="3" t="s">
        <v>15</v>
      </c>
      <c r="B215" s="77"/>
      <c r="C215" s="77"/>
      <c r="D215" s="77"/>
      <c r="E215" s="77">
        <v>1</v>
      </c>
      <c r="F215" s="77">
        <v>4</v>
      </c>
      <c r="G215" s="77">
        <v>4</v>
      </c>
      <c r="H215" s="77"/>
      <c r="I215" s="77">
        <v>5</v>
      </c>
      <c r="J215" s="77"/>
      <c r="K215" s="77">
        <f t="shared" si="28"/>
        <v>14</v>
      </c>
      <c r="AA215" s="1" t="s">
        <v>199</v>
      </c>
      <c r="AB215" s="180"/>
      <c r="AC215" s="180"/>
      <c r="AD215" s="180"/>
      <c r="AE215" s="180"/>
      <c r="AF215" s="86"/>
      <c r="AG215" s="86"/>
      <c r="AH215" s="86"/>
      <c r="AI215" s="86"/>
      <c r="AJ215" s="86"/>
      <c r="AK215" s="86"/>
    </row>
    <row r="216" spans="1:41" x14ac:dyDescent="0.45">
      <c r="A216" s="83" t="s">
        <v>54</v>
      </c>
      <c r="B216" s="77"/>
      <c r="C216" s="77"/>
      <c r="D216" s="77"/>
      <c r="E216" s="77"/>
      <c r="F216" s="77"/>
      <c r="G216" s="77">
        <v>2</v>
      </c>
      <c r="H216" s="77"/>
      <c r="I216" s="77"/>
      <c r="J216" s="77"/>
      <c r="K216" s="77">
        <f t="shared" si="28"/>
        <v>2</v>
      </c>
      <c r="AA216" s="1" t="s">
        <v>153</v>
      </c>
      <c r="AB216" s="180"/>
      <c r="AC216" s="180"/>
      <c r="AD216" s="180"/>
      <c r="AE216" s="180"/>
      <c r="AF216" s="86"/>
      <c r="AG216" s="86"/>
      <c r="AH216" s="86"/>
      <c r="AI216" s="86"/>
      <c r="AJ216" s="86"/>
      <c r="AK216" s="86"/>
    </row>
    <row r="217" spans="1:41" x14ac:dyDescent="0.45">
      <c r="A217" s="83" t="s">
        <v>47</v>
      </c>
      <c r="B217" s="77"/>
      <c r="C217" s="77"/>
      <c r="D217" s="77"/>
      <c r="E217" s="77"/>
      <c r="F217" s="77"/>
      <c r="G217" s="77"/>
      <c r="H217" s="77">
        <v>3</v>
      </c>
      <c r="I217" s="77"/>
      <c r="J217" s="77"/>
      <c r="K217" s="77">
        <f t="shared" si="28"/>
        <v>3</v>
      </c>
      <c r="AA217" s="180"/>
      <c r="AB217" s="180"/>
      <c r="AC217" s="180"/>
      <c r="AD217" s="180"/>
      <c r="AE217" s="180"/>
      <c r="AF217" s="180"/>
      <c r="AG217" s="180"/>
      <c r="AH217" s="180"/>
      <c r="AI217" s="180"/>
      <c r="AJ217" s="180"/>
      <c r="AK217" s="180"/>
    </row>
    <row r="218" spans="1:41" x14ac:dyDescent="0.45">
      <c r="A218" s="3" t="s">
        <v>16</v>
      </c>
      <c r="B218" s="77"/>
      <c r="C218" s="77"/>
      <c r="D218" s="77"/>
      <c r="E218" s="77"/>
      <c r="F218" s="77"/>
      <c r="G218" s="77"/>
      <c r="H218" s="77"/>
      <c r="I218" s="77"/>
      <c r="J218" s="77"/>
      <c r="K218" s="77">
        <f t="shared" si="28"/>
        <v>0</v>
      </c>
      <c r="AA218" s="180"/>
      <c r="AB218" s="1" t="s">
        <v>20</v>
      </c>
      <c r="AC218" s="1"/>
      <c r="AD218" s="1"/>
      <c r="AE218" s="1"/>
      <c r="AF218" s="1" t="s">
        <v>21</v>
      </c>
      <c r="AG218" s="1"/>
      <c r="AH218" s="1"/>
      <c r="AI218" s="1"/>
      <c r="AJ218" s="1"/>
      <c r="AK218" s="180"/>
      <c r="AM218" s="180" t="s">
        <v>189</v>
      </c>
    </row>
    <row r="219" spans="1:41" x14ac:dyDescent="0.45">
      <c r="A219" s="83" t="s">
        <v>55</v>
      </c>
      <c r="B219" s="77"/>
      <c r="C219" s="77"/>
      <c r="D219" s="77"/>
      <c r="E219" s="77"/>
      <c r="F219" s="77"/>
      <c r="G219" s="77"/>
      <c r="H219" s="77"/>
      <c r="I219" s="77"/>
      <c r="J219" s="77"/>
      <c r="K219" s="77">
        <f t="shared" si="28"/>
        <v>0</v>
      </c>
      <c r="AA219" s="108" t="s">
        <v>39</v>
      </c>
      <c r="AB219" s="127">
        <v>14</v>
      </c>
      <c r="AC219" s="128">
        <v>19</v>
      </c>
      <c r="AD219" s="128">
        <v>24</v>
      </c>
      <c r="AE219" s="128">
        <v>29</v>
      </c>
      <c r="AF219" s="128">
        <v>4</v>
      </c>
      <c r="AG219" s="128">
        <v>9</v>
      </c>
      <c r="AH219" s="128">
        <v>14</v>
      </c>
      <c r="AI219" s="128">
        <v>18</v>
      </c>
      <c r="AJ219" s="128">
        <v>24</v>
      </c>
      <c r="AK219" s="97" t="s">
        <v>24</v>
      </c>
      <c r="AM219" s="201">
        <v>43592</v>
      </c>
      <c r="AN219" s="201">
        <v>43593</v>
      </c>
      <c r="AO219" s="201">
        <v>43606</v>
      </c>
    </row>
    <row r="220" spans="1:41" x14ac:dyDescent="0.45">
      <c r="A220" s="78" t="s">
        <v>17</v>
      </c>
      <c r="B220" s="77"/>
      <c r="C220" s="77"/>
      <c r="D220" s="77"/>
      <c r="E220" s="77"/>
      <c r="F220" s="77"/>
      <c r="G220" s="77"/>
      <c r="H220" s="77"/>
      <c r="I220" s="77"/>
      <c r="J220" s="77"/>
      <c r="K220" s="77">
        <f t="shared" si="28"/>
        <v>0</v>
      </c>
      <c r="AA220" s="162" t="s">
        <v>1</v>
      </c>
      <c r="AB220" s="86"/>
      <c r="AC220" s="86"/>
      <c r="AD220" s="86"/>
      <c r="AE220" s="86"/>
      <c r="AF220" s="86"/>
      <c r="AG220" s="86">
        <v>25</v>
      </c>
      <c r="AH220" s="86">
        <v>7</v>
      </c>
      <c r="AI220" s="86"/>
      <c r="AJ220" s="86"/>
      <c r="AK220" s="86">
        <f>SUM(AB220:AJ220)</f>
        <v>32</v>
      </c>
      <c r="AM220" s="86">
        <v>4</v>
      </c>
      <c r="AN220" s="86">
        <v>3</v>
      </c>
      <c r="AO220" s="86">
        <v>2</v>
      </c>
    </row>
    <row r="221" spans="1:41" x14ac:dyDescent="0.45">
      <c r="A221" s="11" t="s">
        <v>24</v>
      </c>
      <c r="B221" s="154">
        <f>SUM(B186:B220)</f>
        <v>5</v>
      </c>
      <c r="C221" s="151">
        <f t="shared" ref="C221:K221" si="31">SUM(C186:C220)</f>
        <v>12</v>
      </c>
      <c r="D221" s="151">
        <f t="shared" si="31"/>
        <v>10</v>
      </c>
      <c r="E221" s="151">
        <f t="shared" si="31"/>
        <v>38</v>
      </c>
      <c r="F221" s="151">
        <f t="shared" si="31"/>
        <v>1333</v>
      </c>
      <c r="G221" s="151">
        <f t="shared" si="31"/>
        <v>251</v>
      </c>
      <c r="H221" s="151">
        <f t="shared" si="31"/>
        <v>51</v>
      </c>
      <c r="I221" s="151">
        <f t="shared" si="31"/>
        <v>116</v>
      </c>
      <c r="J221" s="151">
        <f t="shared" si="31"/>
        <v>3</v>
      </c>
      <c r="K221" s="151">
        <f t="shared" si="31"/>
        <v>1819</v>
      </c>
      <c r="L221" s="17"/>
      <c r="AA221" s="90" t="s">
        <v>41</v>
      </c>
      <c r="AB221" s="86"/>
      <c r="AC221" s="86"/>
      <c r="AD221" s="86"/>
      <c r="AE221" s="86">
        <v>1</v>
      </c>
      <c r="AF221" s="86"/>
      <c r="AG221" s="86"/>
      <c r="AH221" s="86"/>
      <c r="AI221" s="86"/>
      <c r="AJ221" s="86"/>
      <c r="AK221" s="86">
        <f t="shared" ref="AK221:AK232" si="32">SUM(AB221:AJ221)</f>
        <v>1</v>
      </c>
      <c r="AM221" s="86">
        <v>1</v>
      </c>
      <c r="AN221" s="86"/>
      <c r="AO221" s="86"/>
    </row>
    <row r="222" spans="1:41" x14ac:dyDescent="0.45">
      <c r="L222" s="17"/>
      <c r="AA222" s="90" t="s">
        <v>2</v>
      </c>
      <c r="AB222" s="86"/>
      <c r="AC222" s="86"/>
      <c r="AD222" s="86">
        <v>8</v>
      </c>
      <c r="AE222" s="86">
        <v>20</v>
      </c>
      <c r="AF222" s="86">
        <v>44</v>
      </c>
      <c r="AG222" s="86">
        <v>7</v>
      </c>
      <c r="AH222" s="86"/>
      <c r="AI222" s="86"/>
      <c r="AJ222" s="86">
        <v>1</v>
      </c>
      <c r="AK222" s="86">
        <f t="shared" si="32"/>
        <v>80</v>
      </c>
      <c r="AM222" s="86">
        <v>19</v>
      </c>
      <c r="AN222" s="86">
        <v>18</v>
      </c>
      <c r="AO222" s="86">
        <v>2</v>
      </c>
    </row>
    <row r="223" spans="1:41" x14ac:dyDescent="0.45">
      <c r="AA223" s="90" t="s">
        <v>3</v>
      </c>
      <c r="AB223" s="86"/>
      <c r="AC223" s="86"/>
      <c r="AD223" s="86"/>
      <c r="AE223" s="86">
        <v>2</v>
      </c>
      <c r="AF223" s="86">
        <v>1</v>
      </c>
      <c r="AG223" s="86">
        <v>3</v>
      </c>
      <c r="AH223" s="86">
        <v>2</v>
      </c>
      <c r="AI223" s="86">
        <v>1</v>
      </c>
      <c r="AJ223" s="86"/>
      <c r="AK223" s="86">
        <f t="shared" si="32"/>
        <v>9</v>
      </c>
      <c r="AM223" s="86"/>
      <c r="AN223" s="86">
        <v>1</v>
      </c>
      <c r="AO223" s="86">
        <v>2</v>
      </c>
    </row>
    <row r="224" spans="1:41" x14ac:dyDescent="0.45">
      <c r="AA224" s="90" t="s">
        <v>4</v>
      </c>
      <c r="AB224" s="86"/>
      <c r="AC224" s="86"/>
      <c r="AD224" s="86"/>
      <c r="AE224" s="86"/>
      <c r="AF224" s="86"/>
      <c r="AG224" s="86">
        <v>1</v>
      </c>
      <c r="AH224" s="86"/>
      <c r="AI224" s="86"/>
      <c r="AJ224" s="86">
        <v>1</v>
      </c>
      <c r="AK224" s="86">
        <f t="shared" si="32"/>
        <v>2</v>
      </c>
      <c r="AM224" s="86">
        <v>1</v>
      </c>
      <c r="AN224" s="86">
        <v>5</v>
      </c>
      <c r="AO224" s="86">
        <v>2</v>
      </c>
    </row>
    <row r="225" spans="1:41" x14ac:dyDescent="0.45">
      <c r="A225" s="1" t="s">
        <v>198</v>
      </c>
      <c r="AA225" s="90" t="s">
        <v>7</v>
      </c>
      <c r="AB225" s="86"/>
      <c r="AC225" s="86"/>
      <c r="AD225" s="86"/>
      <c r="AE225" s="86">
        <v>1</v>
      </c>
      <c r="AF225" s="86">
        <v>8</v>
      </c>
      <c r="AG225" s="86">
        <v>2</v>
      </c>
      <c r="AH225" s="86">
        <v>1</v>
      </c>
      <c r="AI225" s="86">
        <v>1</v>
      </c>
      <c r="AJ225" s="86">
        <v>5</v>
      </c>
      <c r="AK225" s="86">
        <f t="shared" si="32"/>
        <v>18</v>
      </c>
      <c r="AM225" s="86">
        <v>74</v>
      </c>
      <c r="AN225" s="86">
        <v>2</v>
      </c>
      <c r="AO225" s="86">
        <v>2</v>
      </c>
    </row>
    <row r="226" spans="1:41" x14ac:dyDescent="0.45">
      <c r="A226" s="1" t="s">
        <v>138</v>
      </c>
      <c r="AA226" s="90" t="s">
        <v>50</v>
      </c>
      <c r="AB226" s="86"/>
      <c r="AC226" s="86"/>
      <c r="AD226" s="86"/>
      <c r="AE226" s="86"/>
      <c r="AF226" s="86">
        <v>1</v>
      </c>
      <c r="AG226" s="86"/>
      <c r="AH226" s="86"/>
      <c r="AI226" s="86"/>
      <c r="AJ226" s="86"/>
      <c r="AK226" s="86">
        <f t="shared" si="32"/>
        <v>1</v>
      </c>
      <c r="AM226" s="86">
        <v>3</v>
      </c>
      <c r="AN226" s="86">
        <v>3</v>
      </c>
      <c r="AO226" s="86"/>
    </row>
    <row r="227" spans="1:41" x14ac:dyDescent="0.45">
      <c r="AA227" s="90" t="s">
        <v>51</v>
      </c>
      <c r="AB227" s="86"/>
      <c r="AC227" s="86"/>
      <c r="AD227" s="86"/>
      <c r="AE227" s="86"/>
      <c r="AF227" s="86">
        <v>5</v>
      </c>
      <c r="AG227" s="86">
        <v>3</v>
      </c>
      <c r="AH227" s="86">
        <v>1</v>
      </c>
      <c r="AI227" s="86"/>
      <c r="AJ227" s="86">
        <v>1</v>
      </c>
      <c r="AK227" s="86">
        <f t="shared" si="32"/>
        <v>10</v>
      </c>
      <c r="AM227" s="86">
        <v>2</v>
      </c>
      <c r="AN227" s="86">
        <v>2</v>
      </c>
      <c r="AO227" s="86">
        <v>1</v>
      </c>
    </row>
    <row r="228" spans="1:41" x14ac:dyDescent="0.45">
      <c r="A228" s="180"/>
      <c r="B228" s="1" t="s">
        <v>20</v>
      </c>
      <c r="C228" s="180"/>
      <c r="D228" s="180"/>
      <c r="E228" s="180"/>
      <c r="F228" s="1" t="s">
        <v>21</v>
      </c>
      <c r="G228" s="180"/>
      <c r="H228" s="180"/>
      <c r="I228" s="180"/>
      <c r="J228" s="180"/>
      <c r="K228" s="180"/>
      <c r="AA228" s="90" t="s">
        <v>42</v>
      </c>
      <c r="AB228" s="86"/>
      <c r="AC228" s="86"/>
      <c r="AD228" s="86"/>
      <c r="AE228" s="86"/>
      <c r="AF228" s="86">
        <v>3</v>
      </c>
      <c r="AG228" s="86"/>
      <c r="AH228" s="86">
        <v>3</v>
      </c>
      <c r="AI228" s="86"/>
      <c r="AJ228" s="86"/>
      <c r="AK228" s="86">
        <f t="shared" si="32"/>
        <v>6</v>
      </c>
      <c r="AM228" s="86"/>
      <c r="AN228" s="86"/>
      <c r="AO228" s="86"/>
    </row>
    <row r="229" spans="1:41" x14ac:dyDescent="0.45">
      <c r="A229" s="26" t="s">
        <v>19</v>
      </c>
      <c r="B229" s="88">
        <v>14</v>
      </c>
      <c r="C229" s="91">
        <v>19</v>
      </c>
      <c r="D229" s="91">
        <v>24</v>
      </c>
      <c r="E229" s="91">
        <v>29</v>
      </c>
      <c r="F229" s="91">
        <v>4</v>
      </c>
      <c r="G229" s="91">
        <v>9</v>
      </c>
      <c r="H229" s="91">
        <v>14</v>
      </c>
      <c r="I229" s="91">
        <v>19</v>
      </c>
      <c r="J229" s="91">
        <v>24</v>
      </c>
      <c r="K229" s="8" t="s">
        <v>24</v>
      </c>
      <c r="AA229" s="90" t="s">
        <v>10</v>
      </c>
      <c r="AB229" s="86"/>
      <c r="AC229" s="86"/>
      <c r="AD229" s="86"/>
      <c r="AE229" s="86"/>
      <c r="AF229" s="86"/>
      <c r="AG229" s="86"/>
      <c r="AH229" s="86"/>
      <c r="AI229" s="86">
        <v>1</v>
      </c>
      <c r="AJ229" s="86"/>
      <c r="AK229" s="86">
        <f t="shared" si="32"/>
        <v>1</v>
      </c>
      <c r="AM229" s="86"/>
      <c r="AN229" s="86"/>
      <c r="AO229" s="106"/>
    </row>
    <row r="230" spans="1:41" x14ac:dyDescent="0.45">
      <c r="A230" s="3" t="s">
        <v>1</v>
      </c>
      <c r="B230" s="77"/>
      <c r="C230" s="77"/>
      <c r="D230" s="77"/>
      <c r="E230" s="77"/>
      <c r="F230" s="77">
        <v>4</v>
      </c>
      <c r="G230" s="77">
        <v>22</v>
      </c>
      <c r="H230" s="77">
        <v>15</v>
      </c>
      <c r="I230" s="77">
        <v>7</v>
      </c>
      <c r="J230" s="77">
        <v>2</v>
      </c>
      <c r="K230" s="77">
        <f t="shared" ref="K230:K264" si="33">SUM(B230:J230)</f>
        <v>50</v>
      </c>
      <c r="AA230" s="90" t="s">
        <v>11</v>
      </c>
      <c r="AB230" s="86"/>
      <c r="AC230" s="86"/>
      <c r="AD230" s="86"/>
      <c r="AE230" s="86"/>
      <c r="AF230" s="86">
        <v>600</v>
      </c>
      <c r="AG230" s="86">
        <v>8000</v>
      </c>
      <c r="AH230" s="86">
        <v>5500</v>
      </c>
      <c r="AI230" s="86">
        <v>600</v>
      </c>
      <c r="AJ230" s="86">
        <v>55</v>
      </c>
      <c r="AK230" s="86">
        <f t="shared" si="32"/>
        <v>14755</v>
      </c>
      <c r="AM230" s="86">
        <v>5000</v>
      </c>
      <c r="AN230" s="86">
        <v>3500</v>
      </c>
      <c r="AO230" s="86">
        <v>500</v>
      </c>
    </row>
    <row r="231" spans="1:41" x14ac:dyDescent="0.45">
      <c r="A231" s="83" t="s">
        <v>49</v>
      </c>
      <c r="B231" s="77"/>
      <c r="C231" s="77"/>
      <c r="D231" s="77"/>
      <c r="E231" s="77"/>
      <c r="F231" s="77"/>
      <c r="G231" s="77"/>
      <c r="H231" s="77"/>
      <c r="I231" s="77"/>
      <c r="J231" s="77"/>
      <c r="K231" s="77">
        <f t="shared" si="33"/>
        <v>0</v>
      </c>
      <c r="AA231" s="90" t="s">
        <v>12</v>
      </c>
      <c r="AB231" s="86"/>
      <c r="AC231" s="86"/>
      <c r="AD231" s="86"/>
      <c r="AE231" s="86"/>
      <c r="AF231" s="86">
        <v>40</v>
      </c>
      <c r="AG231" s="86">
        <v>1</v>
      </c>
      <c r="AH231" s="86"/>
      <c r="AI231" s="86"/>
      <c r="AJ231" s="86"/>
      <c r="AK231" s="86">
        <f t="shared" si="32"/>
        <v>41</v>
      </c>
      <c r="AM231" s="86">
        <v>2</v>
      </c>
      <c r="AN231" s="86">
        <v>4</v>
      </c>
      <c r="AO231" s="86"/>
    </row>
    <row r="232" spans="1:41" x14ac:dyDescent="0.45">
      <c r="A232" s="83" t="s">
        <v>45</v>
      </c>
      <c r="B232" s="77"/>
      <c r="C232" s="77"/>
      <c r="D232" s="77"/>
      <c r="E232" s="77"/>
      <c r="F232" s="77"/>
      <c r="G232" s="77"/>
      <c r="H232" s="77"/>
      <c r="I232" s="77">
        <v>1</v>
      </c>
      <c r="J232" s="77"/>
      <c r="K232" s="77">
        <f t="shared" si="33"/>
        <v>1</v>
      </c>
      <c r="AA232" s="90" t="s">
        <v>32</v>
      </c>
      <c r="AB232" s="86"/>
      <c r="AC232" s="86"/>
      <c r="AD232" s="86"/>
      <c r="AE232" s="86"/>
      <c r="AF232" s="86"/>
      <c r="AG232" s="86">
        <v>3</v>
      </c>
      <c r="AH232" s="86"/>
      <c r="AI232" s="86"/>
      <c r="AJ232" s="86">
        <v>1</v>
      </c>
      <c r="AK232" s="86">
        <f t="shared" si="32"/>
        <v>4</v>
      </c>
      <c r="AM232" s="86"/>
      <c r="AN232" s="86"/>
      <c r="AO232" s="86">
        <v>20</v>
      </c>
    </row>
    <row r="233" spans="1:41" x14ac:dyDescent="0.45">
      <c r="A233" s="83" t="s">
        <v>41</v>
      </c>
      <c r="B233" s="77"/>
      <c r="C233" s="77">
        <v>1</v>
      </c>
      <c r="D233" s="77"/>
      <c r="E233" s="77">
        <v>20</v>
      </c>
      <c r="F233" s="77">
        <v>5</v>
      </c>
      <c r="G233" s="77">
        <v>6</v>
      </c>
      <c r="H233" s="77"/>
      <c r="I233" s="77"/>
      <c r="J233" s="77"/>
      <c r="K233" s="77">
        <f t="shared" si="33"/>
        <v>32</v>
      </c>
      <c r="AA233" s="167" t="s">
        <v>46</v>
      </c>
      <c r="AK233" s="234">
        <v>0</v>
      </c>
      <c r="AM233" s="86"/>
      <c r="AN233" s="86"/>
      <c r="AO233" s="86">
        <v>1</v>
      </c>
    </row>
    <row r="234" spans="1:41" x14ac:dyDescent="0.45">
      <c r="A234" s="3" t="s">
        <v>2</v>
      </c>
      <c r="B234" s="77"/>
      <c r="C234" s="77">
        <v>2</v>
      </c>
      <c r="D234" s="77"/>
      <c r="E234" s="77">
        <v>7</v>
      </c>
      <c r="F234" s="77">
        <v>2</v>
      </c>
      <c r="G234" s="77">
        <v>4</v>
      </c>
      <c r="H234" s="77"/>
      <c r="I234" s="77">
        <v>1</v>
      </c>
      <c r="J234" s="77"/>
      <c r="K234" s="77">
        <f t="shared" si="33"/>
        <v>16</v>
      </c>
      <c r="AA234" s="90" t="s">
        <v>13</v>
      </c>
      <c r="AB234" s="86"/>
      <c r="AC234" s="86"/>
      <c r="AD234" s="86"/>
      <c r="AE234" s="86"/>
      <c r="AF234" s="86"/>
      <c r="AG234" s="86"/>
      <c r="AH234" s="86"/>
      <c r="AI234" s="86">
        <v>20</v>
      </c>
      <c r="AJ234" s="86"/>
      <c r="AK234" s="86">
        <f t="shared" ref="AK234:AK240" si="34">SUM(AB234:AJ234)</f>
        <v>20</v>
      </c>
      <c r="AM234" s="86"/>
      <c r="AN234" s="86"/>
      <c r="AO234" s="86">
        <v>4</v>
      </c>
    </row>
    <row r="235" spans="1:41" x14ac:dyDescent="0.45">
      <c r="A235" s="83" t="s">
        <v>43</v>
      </c>
      <c r="B235" s="77"/>
      <c r="C235" s="77"/>
      <c r="D235" s="77"/>
      <c r="E235" s="77"/>
      <c r="F235" s="77"/>
      <c r="G235" s="77"/>
      <c r="H235" s="77"/>
      <c r="I235" s="77"/>
      <c r="J235" s="77"/>
      <c r="K235" s="77">
        <f t="shared" si="33"/>
        <v>0</v>
      </c>
      <c r="AA235" s="90" t="s">
        <v>14</v>
      </c>
      <c r="AB235" s="86"/>
      <c r="AC235" s="86"/>
      <c r="AD235" s="86">
        <v>1</v>
      </c>
      <c r="AE235" s="86">
        <v>9</v>
      </c>
      <c r="AF235" s="86">
        <v>80</v>
      </c>
      <c r="AG235" s="86">
        <v>600</v>
      </c>
      <c r="AH235" s="86">
        <v>700</v>
      </c>
      <c r="AI235" s="86">
        <v>60</v>
      </c>
      <c r="AJ235" s="86">
        <v>12</v>
      </c>
      <c r="AK235" s="86">
        <f t="shared" si="34"/>
        <v>1462</v>
      </c>
      <c r="AM235" s="86">
        <v>300</v>
      </c>
      <c r="AN235" s="86">
        <v>400</v>
      </c>
      <c r="AO235" s="86">
        <v>27</v>
      </c>
    </row>
    <row r="236" spans="1:41" x14ac:dyDescent="0.45">
      <c r="A236" s="3" t="s">
        <v>3</v>
      </c>
      <c r="B236" s="77">
        <v>6</v>
      </c>
      <c r="C236" s="77">
        <v>7</v>
      </c>
      <c r="D236" s="77">
        <v>9</v>
      </c>
      <c r="E236" s="77">
        <v>17</v>
      </c>
      <c r="F236" s="77">
        <v>6</v>
      </c>
      <c r="G236" s="77">
        <v>4</v>
      </c>
      <c r="H236" s="77">
        <v>3</v>
      </c>
      <c r="I236" s="77">
        <v>11</v>
      </c>
      <c r="J236" s="77">
        <v>1</v>
      </c>
      <c r="K236" s="77">
        <f t="shared" si="33"/>
        <v>64</v>
      </c>
      <c r="AA236" s="90" t="s">
        <v>40</v>
      </c>
      <c r="AB236" s="86">
        <v>9</v>
      </c>
      <c r="AC236" s="86"/>
      <c r="AD236" s="86"/>
      <c r="AE236" s="86"/>
      <c r="AF236" s="86"/>
      <c r="AG236" s="86"/>
      <c r="AH236" s="86"/>
      <c r="AI236" s="86"/>
      <c r="AJ236" s="86"/>
      <c r="AK236" s="86">
        <f t="shared" si="34"/>
        <v>9</v>
      </c>
      <c r="AM236" s="86"/>
      <c r="AN236" s="86"/>
      <c r="AO236" s="86"/>
    </row>
    <row r="237" spans="1:41" x14ac:dyDescent="0.45">
      <c r="A237" s="3" t="s">
        <v>4</v>
      </c>
      <c r="B237" s="77"/>
      <c r="C237" s="77">
        <v>1</v>
      </c>
      <c r="D237" s="77"/>
      <c r="E237" s="77">
        <v>2</v>
      </c>
      <c r="F237" s="77">
        <v>1</v>
      </c>
      <c r="G237" s="77"/>
      <c r="H237" s="77">
        <v>1</v>
      </c>
      <c r="I237" s="77"/>
      <c r="J237" s="77"/>
      <c r="K237" s="77">
        <f t="shared" si="33"/>
        <v>5</v>
      </c>
      <c r="AA237" s="90" t="s">
        <v>15</v>
      </c>
      <c r="AB237" s="86"/>
      <c r="AC237" s="86"/>
      <c r="AD237" s="86"/>
      <c r="AE237" s="86"/>
      <c r="AF237" s="86">
        <v>58</v>
      </c>
      <c r="AG237" s="86">
        <v>210</v>
      </c>
      <c r="AH237" s="86">
        <v>160</v>
      </c>
      <c r="AI237" s="86"/>
      <c r="AJ237" s="86">
        <v>1</v>
      </c>
      <c r="AK237" s="86">
        <f t="shared" si="34"/>
        <v>429</v>
      </c>
      <c r="AM237" s="86">
        <v>32</v>
      </c>
      <c r="AN237" s="86">
        <v>81</v>
      </c>
      <c r="AO237" s="86">
        <v>9</v>
      </c>
    </row>
    <row r="238" spans="1:41" x14ac:dyDescent="0.45">
      <c r="A238" s="83" t="s">
        <v>48</v>
      </c>
      <c r="B238" s="77"/>
      <c r="C238" s="77"/>
      <c r="D238" s="77"/>
      <c r="E238" s="77"/>
      <c r="F238" s="77"/>
      <c r="G238" s="77"/>
      <c r="H238" s="77"/>
      <c r="I238" s="77"/>
      <c r="J238" s="77"/>
      <c r="K238" s="77">
        <f t="shared" si="33"/>
        <v>0</v>
      </c>
      <c r="AA238" s="90" t="s">
        <v>54</v>
      </c>
      <c r="AB238" s="86"/>
      <c r="AC238" s="86"/>
      <c r="AD238" s="86"/>
      <c r="AE238" s="86"/>
      <c r="AF238" s="86"/>
      <c r="AG238" s="86">
        <v>4</v>
      </c>
      <c r="AH238" s="86"/>
      <c r="AI238" s="86"/>
      <c r="AJ238" s="86"/>
      <c r="AK238" s="86">
        <f t="shared" si="34"/>
        <v>4</v>
      </c>
      <c r="AM238" s="86"/>
      <c r="AN238" s="86"/>
      <c r="AO238" s="86">
        <v>4</v>
      </c>
    </row>
    <row r="239" spans="1:41" x14ac:dyDescent="0.45">
      <c r="A239" s="3" t="s">
        <v>6</v>
      </c>
      <c r="B239" s="77"/>
      <c r="C239" s="77"/>
      <c r="D239" s="77"/>
      <c r="E239" s="77"/>
      <c r="F239" s="77"/>
      <c r="G239" s="77"/>
      <c r="H239" s="77"/>
      <c r="I239" s="77">
        <v>1</v>
      </c>
      <c r="J239" s="77">
        <v>1</v>
      </c>
      <c r="K239" s="77">
        <f t="shared" si="33"/>
        <v>2</v>
      </c>
      <c r="AA239" s="90" t="s">
        <v>16</v>
      </c>
      <c r="AB239" s="86"/>
      <c r="AC239" s="86"/>
      <c r="AD239" s="86"/>
      <c r="AE239" s="86">
        <v>2</v>
      </c>
      <c r="AF239" s="86"/>
      <c r="AG239" s="86">
        <v>2</v>
      </c>
      <c r="AH239" s="86"/>
      <c r="AI239" s="86"/>
      <c r="AJ239" s="86"/>
      <c r="AK239" s="86">
        <f t="shared" si="34"/>
        <v>4</v>
      </c>
      <c r="AM239" s="86">
        <v>1</v>
      </c>
      <c r="AN239" s="86">
        <v>2</v>
      </c>
      <c r="AO239" s="86">
        <v>1</v>
      </c>
    </row>
    <row r="240" spans="1:41" x14ac:dyDescent="0.45">
      <c r="A240" s="3" t="s">
        <v>7</v>
      </c>
      <c r="B240" s="77"/>
      <c r="C240" s="77"/>
      <c r="D240" s="77"/>
      <c r="E240" s="77"/>
      <c r="F240" s="77">
        <v>2</v>
      </c>
      <c r="G240" s="77">
        <v>3</v>
      </c>
      <c r="H240" s="77">
        <v>8</v>
      </c>
      <c r="I240" s="77">
        <v>5</v>
      </c>
      <c r="J240" s="77">
        <v>2</v>
      </c>
      <c r="K240" s="77">
        <f t="shared" si="33"/>
        <v>20</v>
      </c>
      <c r="AA240" s="90" t="s">
        <v>17</v>
      </c>
      <c r="AB240" s="86"/>
      <c r="AC240" s="86"/>
      <c r="AD240" s="86"/>
      <c r="AE240" s="86"/>
      <c r="AF240" s="86">
        <v>1</v>
      </c>
      <c r="AG240" s="86"/>
      <c r="AH240" s="86"/>
      <c r="AI240" s="86"/>
      <c r="AJ240" s="86"/>
      <c r="AK240" s="86">
        <f t="shared" si="34"/>
        <v>1</v>
      </c>
      <c r="AL240" s="17"/>
      <c r="AM240" s="86"/>
      <c r="AN240" s="86"/>
      <c r="AO240" s="86"/>
    </row>
    <row r="241" spans="1:41" x14ac:dyDescent="0.45">
      <c r="A241" s="101" t="s">
        <v>83</v>
      </c>
      <c r="B241" s="77"/>
      <c r="C241" s="77"/>
      <c r="D241" s="77"/>
      <c r="E241" s="77"/>
      <c r="F241" s="77"/>
      <c r="G241" s="77"/>
      <c r="H241" s="77"/>
      <c r="I241" s="77"/>
      <c r="J241" s="77"/>
      <c r="K241" s="77"/>
      <c r="AA241" s="170" t="s">
        <v>24</v>
      </c>
      <c r="AB241" s="159">
        <f t="shared" ref="AB241:AK241" si="35">SUM(AB220:AB240)</f>
        <v>9</v>
      </c>
      <c r="AC241" s="160">
        <f t="shared" si="35"/>
        <v>0</v>
      </c>
      <c r="AD241" s="160">
        <f t="shared" si="35"/>
        <v>9</v>
      </c>
      <c r="AE241" s="160">
        <f t="shared" si="35"/>
        <v>35</v>
      </c>
      <c r="AF241" s="160">
        <f t="shared" si="35"/>
        <v>841</v>
      </c>
      <c r="AG241" s="160">
        <f t="shared" si="35"/>
        <v>8861</v>
      </c>
      <c r="AH241" s="160">
        <f t="shared" si="35"/>
        <v>6374</v>
      </c>
      <c r="AI241" s="160">
        <f t="shared" si="35"/>
        <v>683</v>
      </c>
      <c r="AJ241" s="160">
        <f t="shared" si="35"/>
        <v>77</v>
      </c>
      <c r="AK241" s="160">
        <f t="shared" si="35"/>
        <v>16889</v>
      </c>
      <c r="AM241" s="160">
        <f t="shared" ref="AM241:AO241" si="36">SUM(AM220:AM240)</f>
        <v>5439</v>
      </c>
      <c r="AN241" s="160">
        <f t="shared" si="36"/>
        <v>4021</v>
      </c>
      <c r="AO241" s="160">
        <f t="shared" si="36"/>
        <v>577</v>
      </c>
    </row>
    <row r="242" spans="1:41" x14ac:dyDescent="0.45">
      <c r="A242" s="83" t="s">
        <v>50</v>
      </c>
      <c r="B242" s="77"/>
      <c r="C242" s="77"/>
      <c r="D242" s="77"/>
      <c r="E242" s="77"/>
      <c r="F242" s="77"/>
      <c r="G242" s="77"/>
      <c r="H242" s="77"/>
      <c r="I242" s="77"/>
      <c r="J242" s="77"/>
      <c r="K242" s="77">
        <f t="shared" si="33"/>
        <v>0</v>
      </c>
    </row>
    <row r="243" spans="1:41" x14ac:dyDescent="0.45">
      <c r="A243" s="83" t="s">
        <v>51</v>
      </c>
      <c r="B243" s="77"/>
      <c r="C243" s="77"/>
      <c r="D243" s="77"/>
      <c r="E243" s="77"/>
      <c r="F243" s="77"/>
      <c r="G243" s="77">
        <v>2</v>
      </c>
      <c r="H243" s="77"/>
      <c r="I243" s="77">
        <v>1</v>
      </c>
      <c r="J243" s="77"/>
      <c r="K243" s="77">
        <f t="shared" si="33"/>
        <v>3</v>
      </c>
    </row>
    <row r="244" spans="1:41" x14ac:dyDescent="0.45">
      <c r="A244" s="83" t="s">
        <v>42</v>
      </c>
      <c r="B244" s="77"/>
      <c r="C244" s="77"/>
      <c r="D244" s="77"/>
      <c r="E244" s="77"/>
      <c r="F244" s="77"/>
      <c r="G244" s="77">
        <v>1</v>
      </c>
      <c r="H244" s="77"/>
      <c r="I244" s="77"/>
      <c r="J244" s="77"/>
      <c r="K244" s="77">
        <f t="shared" si="33"/>
        <v>1</v>
      </c>
    </row>
    <row r="245" spans="1:41" x14ac:dyDescent="0.45">
      <c r="A245" s="3" t="s">
        <v>8</v>
      </c>
      <c r="B245" s="77"/>
      <c r="C245" s="77"/>
      <c r="D245" s="77"/>
      <c r="E245" s="77"/>
      <c r="F245" s="77"/>
      <c r="G245" s="77"/>
      <c r="H245" s="77">
        <v>3</v>
      </c>
      <c r="I245" s="77">
        <v>2</v>
      </c>
      <c r="J245" s="77"/>
      <c r="K245" s="77">
        <f t="shared" si="33"/>
        <v>5</v>
      </c>
      <c r="AA245" s="1" t="s">
        <v>225</v>
      </c>
    </row>
    <row r="246" spans="1:41" x14ac:dyDescent="0.45">
      <c r="A246" s="3" t="s">
        <v>9</v>
      </c>
      <c r="B246" s="77"/>
      <c r="C246" s="77"/>
      <c r="D246" s="77"/>
      <c r="E246" s="77"/>
      <c r="F246" s="77"/>
      <c r="G246" s="77"/>
      <c r="H246" s="77"/>
      <c r="I246" s="77"/>
      <c r="J246" s="77"/>
      <c r="K246" s="77">
        <f t="shared" si="33"/>
        <v>0</v>
      </c>
      <c r="AA246" s="1" t="s">
        <v>153</v>
      </c>
    </row>
    <row r="247" spans="1:41" x14ac:dyDescent="0.45">
      <c r="A247" s="83" t="s">
        <v>44</v>
      </c>
      <c r="B247" s="77"/>
      <c r="C247" s="77"/>
      <c r="D247" s="77"/>
      <c r="E247" s="77"/>
      <c r="F247" s="77"/>
      <c r="G247" s="77">
        <v>1</v>
      </c>
      <c r="H247" s="77"/>
      <c r="I247" s="77"/>
      <c r="J247" s="77">
        <v>2</v>
      </c>
      <c r="K247" s="77">
        <f t="shared" si="33"/>
        <v>3</v>
      </c>
    </row>
    <row r="248" spans="1:41" x14ac:dyDescent="0.45">
      <c r="A248" s="3" t="s">
        <v>10</v>
      </c>
      <c r="B248" s="77"/>
      <c r="C248" s="77"/>
      <c r="D248" s="77"/>
      <c r="E248" s="77"/>
      <c r="F248" s="77">
        <v>14</v>
      </c>
      <c r="G248" s="77">
        <v>8</v>
      </c>
      <c r="H248" s="77">
        <v>1</v>
      </c>
      <c r="I248" s="77"/>
      <c r="J248" s="77">
        <v>1</v>
      </c>
      <c r="K248" s="77">
        <f t="shared" si="33"/>
        <v>24</v>
      </c>
      <c r="AA248" s="180"/>
      <c r="AB248" s="1" t="s">
        <v>20</v>
      </c>
      <c r="AC248" s="1"/>
      <c r="AD248" s="1"/>
      <c r="AE248" s="1"/>
      <c r="AF248" s="1" t="s">
        <v>21</v>
      </c>
      <c r="AG248" s="1"/>
      <c r="AH248" s="1"/>
      <c r="AI248" s="1"/>
      <c r="AJ248" s="1"/>
      <c r="AK248" s="180"/>
      <c r="AM248" s="180" t="s">
        <v>189</v>
      </c>
    </row>
    <row r="249" spans="1:41" x14ac:dyDescent="0.45">
      <c r="A249" s="3" t="s">
        <v>11</v>
      </c>
      <c r="B249" s="77"/>
      <c r="C249" s="77"/>
      <c r="D249" s="77"/>
      <c r="E249" s="77">
        <v>1</v>
      </c>
      <c r="F249" s="77">
        <v>5</v>
      </c>
      <c r="G249" s="77">
        <v>300</v>
      </c>
      <c r="H249" s="77">
        <v>400</v>
      </c>
      <c r="I249" s="77">
        <v>75</v>
      </c>
      <c r="J249" s="77">
        <v>18</v>
      </c>
      <c r="K249" s="77">
        <f t="shared" si="33"/>
        <v>799</v>
      </c>
      <c r="AA249" s="108" t="s">
        <v>39</v>
      </c>
      <c r="AB249" s="127">
        <v>13</v>
      </c>
      <c r="AC249" s="128">
        <v>18</v>
      </c>
      <c r="AD249" s="128">
        <v>23</v>
      </c>
      <c r="AE249" s="128">
        <v>28</v>
      </c>
      <c r="AF249" s="128">
        <v>3</v>
      </c>
      <c r="AG249" s="236">
        <v>8</v>
      </c>
      <c r="AH249" s="128">
        <v>14</v>
      </c>
      <c r="AI249" s="128">
        <v>18</v>
      </c>
      <c r="AJ249" s="128">
        <v>23</v>
      </c>
      <c r="AK249" s="97" t="s">
        <v>24</v>
      </c>
      <c r="AM249" s="201">
        <v>43595</v>
      </c>
    </row>
    <row r="250" spans="1:41" x14ac:dyDescent="0.45">
      <c r="A250" s="3" t="s">
        <v>12</v>
      </c>
      <c r="B250" s="77"/>
      <c r="C250" s="77"/>
      <c r="D250" s="77"/>
      <c r="E250" s="77"/>
      <c r="F250" s="77"/>
      <c r="G250" s="77">
        <v>4</v>
      </c>
      <c r="H250" s="77">
        <v>10</v>
      </c>
      <c r="I250" s="77">
        <v>4</v>
      </c>
      <c r="J250" s="77">
        <v>1</v>
      </c>
      <c r="K250" s="77">
        <f t="shared" si="33"/>
        <v>19</v>
      </c>
      <c r="AA250" s="204" t="s">
        <v>1</v>
      </c>
      <c r="AB250" s="86"/>
      <c r="AC250" s="86"/>
      <c r="AD250" s="86"/>
      <c r="AE250" s="86"/>
      <c r="AF250" s="86"/>
      <c r="AG250" s="86">
        <v>3</v>
      </c>
      <c r="AH250" s="86">
        <v>4</v>
      </c>
      <c r="AI250" s="86"/>
      <c r="AJ250" s="86"/>
      <c r="AK250" s="86">
        <f t="shared" ref="AK250:AK267" si="37">SUM(AB250:AJ250)</f>
        <v>7</v>
      </c>
      <c r="AM250" s="86">
        <v>6</v>
      </c>
    </row>
    <row r="251" spans="1:41" x14ac:dyDescent="0.45">
      <c r="A251" s="83" t="s">
        <v>32</v>
      </c>
      <c r="B251" s="77"/>
      <c r="C251" s="77"/>
      <c r="D251" s="77"/>
      <c r="E251" s="77"/>
      <c r="F251" s="77"/>
      <c r="G251" s="77">
        <v>4</v>
      </c>
      <c r="H251" s="77">
        <v>1</v>
      </c>
      <c r="I251" s="77">
        <v>3</v>
      </c>
      <c r="J251" s="77"/>
      <c r="K251" s="77">
        <f t="shared" si="33"/>
        <v>8</v>
      </c>
      <c r="AA251" s="205" t="s">
        <v>41</v>
      </c>
      <c r="AB251" s="86"/>
      <c r="AC251" s="86"/>
      <c r="AD251" s="86"/>
      <c r="AE251" s="86"/>
      <c r="AF251" s="86">
        <v>5</v>
      </c>
      <c r="AG251" s="86">
        <v>3</v>
      </c>
      <c r="AH251" s="86"/>
      <c r="AI251" s="86"/>
      <c r="AJ251" s="86"/>
      <c r="AK251" s="86">
        <f t="shared" si="37"/>
        <v>8</v>
      </c>
      <c r="AM251" s="86"/>
    </row>
    <row r="252" spans="1:41" x14ac:dyDescent="0.45">
      <c r="A252" s="3" t="s">
        <v>18</v>
      </c>
      <c r="B252" s="77"/>
      <c r="C252" s="77"/>
      <c r="D252" s="77"/>
      <c r="E252" s="77"/>
      <c r="F252" s="77"/>
      <c r="G252" s="77"/>
      <c r="H252" s="77"/>
      <c r="I252" s="77"/>
      <c r="J252" s="77"/>
      <c r="K252" s="77">
        <f t="shared" si="33"/>
        <v>0</v>
      </c>
      <c r="AA252" s="205" t="s">
        <v>2</v>
      </c>
      <c r="AB252" s="86"/>
      <c r="AC252" s="86">
        <v>3</v>
      </c>
      <c r="AD252" s="86">
        <v>16</v>
      </c>
      <c r="AE252" s="86">
        <v>2</v>
      </c>
      <c r="AF252" s="86">
        <v>3</v>
      </c>
      <c r="AG252" s="86">
        <v>6</v>
      </c>
      <c r="AH252" s="86">
        <v>8</v>
      </c>
      <c r="AI252" s="86"/>
      <c r="AJ252" s="86"/>
      <c r="AK252" s="86">
        <f t="shared" si="37"/>
        <v>38</v>
      </c>
      <c r="AM252" s="86">
        <v>4</v>
      </c>
    </row>
    <row r="253" spans="1:41" x14ac:dyDescent="0.45">
      <c r="A253" s="83" t="s">
        <v>46</v>
      </c>
      <c r="B253" s="77"/>
      <c r="C253" s="77"/>
      <c r="D253" s="77"/>
      <c r="E253" s="77"/>
      <c r="F253" s="77"/>
      <c r="G253" s="77"/>
      <c r="H253" s="77"/>
      <c r="I253" s="77">
        <v>3</v>
      </c>
      <c r="J253" s="77"/>
      <c r="K253" s="77">
        <f t="shared" si="33"/>
        <v>3</v>
      </c>
      <c r="AA253" s="205" t="s">
        <v>3</v>
      </c>
      <c r="AB253" s="86"/>
      <c r="AC253" s="86">
        <v>1</v>
      </c>
      <c r="AD253" s="86">
        <v>1</v>
      </c>
      <c r="AE253" s="86">
        <v>1</v>
      </c>
      <c r="AF253" s="86"/>
      <c r="AG253" s="86">
        <v>2</v>
      </c>
      <c r="AH253" s="86">
        <v>2</v>
      </c>
      <c r="AI253" s="86">
        <v>2</v>
      </c>
      <c r="AJ253" s="86">
        <v>3</v>
      </c>
      <c r="AK253" s="86">
        <f t="shared" si="37"/>
        <v>12</v>
      </c>
      <c r="AM253" s="86">
        <v>3</v>
      </c>
    </row>
    <row r="254" spans="1:41" x14ac:dyDescent="0.45">
      <c r="A254" s="3" t="s">
        <v>13</v>
      </c>
      <c r="B254" s="77"/>
      <c r="C254" s="77"/>
      <c r="D254" s="77"/>
      <c r="E254" s="77"/>
      <c r="F254" s="77"/>
      <c r="G254" s="77"/>
      <c r="H254" s="77"/>
      <c r="I254" s="77">
        <v>20</v>
      </c>
      <c r="J254" s="77"/>
      <c r="K254" s="77">
        <f t="shared" si="33"/>
        <v>20</v>
      </c>
      <c r="AA254" s="205" t="s">
        <v>4</v>
      </c>
      <c r="AB254" s="86"/>
      <c r="AC254" s="86"/>
      <c r="AD254" s="86"/>
      <c r="AE254" s="86"/>
      <c r="AF254" s="86"/>
      <c r="AG254" s="86"/>
      <c r="AH254" s="86">
        <v>1</v>
      </c>
      <c r="AI254" s="86">
        <v>2</v>
      </c>
      <c r="AJ254" s="86">
        <v>3</v>
      </c>
      <c r="AK254" s="86">
        <f t="shared" si="37"/>
        <v>6</v>
      </c>
      <c r="AM254" s="86">
        <v>2</v>
      </c>
    </row>
    <row r="255" spans="1:41" x14ac:dyDescent="0.45">
      <c r="A255" s="3" t="s">
        <v>14</v>
      </c>
      <c r="B255" s="77"/>
      <c r="C255" s="77"/>
      <c r="D255" s="77"/>
      <c r="E255" s="77">
        <v>6</v>
      </c>
      <c r="F255" s="77">
        <v>2</v>
      </c>
      <c r="G255" s="77">
        <v>20</v>
      </c>
      <c r="H255" s="77">
        <v>35</v>
      </c>
      <c r="I255" s="77">
        <v>5</v>
      </c>
      <c r="J255" s="77">
        <v>1</v>
      </c>
      <c r="K255" s="77">
        <f t="shared" si="33"/>
        <v>69</v>
      </c>
      <c r="AA255" s="205" t="s">
        <v>7</v>
      </c>
      <c r="AB255" s="86"/>
      <c r="AC255" s="86"/>
      <c r="AD255" s="86"/>
      <c r="AE255" s="86">
        <v>2</v>
      </c>
      <c r="AF255" s="86">
        <v>1</v>
      </c>
      <c r="AG255" s="86">
        <v>3</v>
      </c>
      <c r="AH255" s="86">
        <v>6</v>
      </c>
      <c r="AI255" s="86">
        <v>6</v>
      </c>
      <c r="AJ255" s="86"/>
      <c r="AK255" s="86">
        <f t="shared" si="37"/>
        <v>18</v>
      </c>
      <c r="AM255" s="86">
        <v>1</v>
      </c>
    </row>
    <row r="256" spans="1:41" x14ac:dyDescent="0.45">
      <c r="A256" s="83" t="s">
        <v>40</v>
      </c>
      <c r="B256" s="77"/>
      <c r="C256" s="77">
        <v>2</v>
      </c>
      <c r="D256" s="77"/>
      <c r="E256" s="77"/>
      <c r="F256" s="77"/>
      <c r="G256" s="77"/>
      <c r="H256" s="77"/>
      <c r="I256" s="77"/>
      <c r="J256" s="77"/>
      <c r="K256" s="77">
        <f t="shared" si="33"/>
        <v>2</v>
      </c>
      <c r="AA256" s="205" t="s">
        <v>51</v>
      </c>
      <c r="AB256" s="86"/>
      <c r="AC256" s="86"/>
      <c r="AD256" s="86"/>
      <c r="AE256" s="86"/>
      <c r="AF256" s="86">
        <v>1</v>
      </c>
      <c r="AG256" s="86">
        <v>4</v>
      </c>
      <c r="AH256" s="86">
        <v>1</v>
      </c>
      <c r="AI256" s="86"/>
      <c r="AJ256" s="86"/>
      <c r="AK256" s="86">
        <f t="shared" si="37"/>
        <v>6</v>
      </c>
      <c r="AM256" s="86">
        <v>2</v>
      </c>
    </row>
    <row r="257" spans="1:39" x14ac:dyDescent="0.45">
      <c r="A257" s="83" t="s">
        <v>52</v>
      </c>
      <c r="B257" s="77"/>
      <c r="C257" s="77"/>
      <c r="D257" s="77"/>
      <c r="E257" s="77"/>
      <c r="F257" s="77"/>
      <c r="G257" s="77"/>
      <c r="H257" s="77"/>
      <c r="I257" s="77"/>
      <c r="J257" s="77"/>
      <c r="K257" s="77">
        <f t="shared" si="33"/>
        <v>0</v>
      </c>
      <c r="AA257" s="205" t="s">
        <v>42</v>
      </c>
      <c r="AB257" s="86"/>
      <c r="AC257" s="86"/>
      <c r="AD257" s="86"/>
      <c r="AE257" s="86"/>
      <c r="AF257" s="86"/>
      <c r="AG257" s="86"/>
      <c r="AH257" s="86">
        <v>4</v>
      </c>
      <c r="AI257" s="86"/>
      <c r="AJ257" s="86"/>
      <c r="AK257" s="86">
        <f t="shared" si="37"/>
        <v>4</v>
      </c>
      <c r="AM257" s="86"/>
    </row>
    <row r="258" spans="1:39" x14ac:dyDescent="0.45">
      <c r="A258" s="83" t="s">
        <v>53</v>
      </c>
      <c r="B258" s="77"/>
      <c r="C258" s="77"/>
      <c r="D258" s="77"/>
      <c r="E258" s="77"/>
      <c r="F258" s="77"/>
      <c r="G258" s="77"/>
      <c r="H258" s="77"/>
      <c r="I258" s="77">
        <v>2</v>
      </c>
      <c r="J258" s="77"/>
      <c r="K258" s="77">
        <f t="shared" si="33"/>
        <v>2</v>
      </c>
      <c r="AA258" s="205" t="s">
        <v>11</v>
      </c>
      <c r="AB258" s="86"/>
      <c r="AC258" s="86"/>
      <c r="AD258" s="86"/>
      <c r="AE258" s="86"/>
      <c r="AF258" s="86"/>
      <c r="AG258" s="86">
        <v>4800</v>
      </c>
      <c r="AH258" s="86">
        <v>1600</v>
      </c>
      <c r="AI258" s="86">
        <v>320</v>
      </c>
      <c r="AJ258" s="86">
        <v>1</v>
      </c>
      <c r="AK258" s="86">
        <f t="shared" si="37"/>
        <v>6721</v>
      </c>
      <c r="AM258" s="86">
        <v>220</v>
      </c>
    </row>
    <row r="259" spans="1:39" x14ac:dyDescent="0.45">
      <c r="A259" s="3" t="s">
        <v>15</v>
      </c>
      <c r="B259" s="77"/>
      <c r="C259" s="77"/>
      <c r="D259" s="77"/>
      <c r="E259" s="77"/>
      <c r="F259" s="77">
        <v>1</v>
      </c>
      <c r="G259" s="77"/>
      <c r="H259" s="77">
        <v>3</v>
      </c>
      <c r="I259" s="77"/>
      <c r="J259" s="77"/>
      <c r="K259" s="77">
        <f t="shared" si="33"/>
        <v>4</v>
      </c>
      <c r="AA259" s="205" t="s">
        <v>12</v>
      </c>
      <c r="AB259" s="86"/>
      <c r="AC259" s="86"/>
      <c r="AD259" s="86"/>
      <c r="AE259" s="86"/>
      <c r="AF259" s="86"/>
      <c r="AG259" s="86">
        <v>2</v>
      </c>
      <c r="AH259" s="86">
        <v>2</v>
      </c>
      <c r="AI259" s="86"/>
      <c r="AJ259" s="86"/>
      <c r="AK259" s="86">
        <f t="shared" si="37"/>
        <v>4</v>
      </c>
      <c r="AM259" s="86">
        <v>4</v>
      </c>
    </row>
    <row r="260" spans="1:39" x14ac:dyDescent="0.45">
      <c r="A260" s="83" t="s">
        <v>54</v>
      </c>
      <c r="B260" s="77"/>
      <c r="C260" s="77"/>
      <c r="D260" s="77"/>
      <c r="E260" s="77"/>
      <c r="F260" s="77"/>
      <c r="G260" s="77"/>
      <c r="H260" s="77">
        <v>2</v>
      </c>
      <c r="I260" s="77">
        <v>1</v>
      </c>
      <c r="J260" s="77"/>
      <c r="K260" s="77">
        <f t="shared" si="33"/>
        <v>3</v>
      </c>
      <c r="AA260" s="205" t="s">
        <v>32</v>
      </c>
      <c r="AB260" s="86"/>
      <c r="AC260" s="86"/>
      <c r="AD260" s="86"/>
      <c r="AE260" s="86"/>
      <c r="AF260" s="86"/>
      <c r="AG260" s="86"/>
      <c r="AH260" s="86">
        <v>20</v>
      </c>
      <c r="AI260" s="86"/>
      <c r="AJ260" s="86">
        <v>1</v>
      </c>
      <c r="AK260" s="86">
        <f t="shared" si="37"/>
        <v>21</v>
      </c>
      <c r="AM260" s="86"/>
    </row>
    <row r="261" spans="1:39" x14ac:dyDescent="0.45">
      <c r="A261" s="83" t="s">
        <v>47</v>
      </c>
      <c r="B261" s="77"/>
      <c r="C261" s="77"/>
      <c r="D261" s="77"/>
      <c r="E261" s="77"/>
      <c r="F261" s="77"/>
      <c r="G261" s="77">
        <v>2</v>
      </c>
      <c r="H261" s="77">
        <v>2</v>
      </c>
      <c r="I261" s="77"/>
      <c r="J261" s="77"/>
      <c r="K261" s="77">
        <f t="shared" si="33"/>
        <v>4</v>
      </c>
      <c r="AA261" s="87" t="s">
        <v>146</v>
      </c>
      <c r="AB261" s="180"/>
      <c r="AC261" s="180"/>
      <c r="AD261" s="180"/>
      <c r="AE261" s="180"/>
      <c r="AF261" s="180">
        <v>1</v>
      </c>
      <c r="AG261" s="180"/>
      <c r="AH261" s="180"/>
      <c r="AI261" s="180"/>
      <c r="AJ261" s="180"/>
      <c r="AK261" s="86">
        <f t="shared" si="37"/>
        <v>1</v>
      </c>
      <c r="AM261" s="180"/>
    </row>
    <row r="262" spans="1:39" x14ac:dyDescent="0.45">
      <c r="A262" s="3" t="s">
        <v>16</v>
      </c>
      <c r="B262" s="77"/>
      <c r="C262" s="77"/>
      <c r="D262" s="77"/>
      <c r="E262" s="77"/>
      <c r="F262" s="77"/>
      <c r="G262" s="77">
        <v>1</v>
      </c>
      <c r="H262" s="77"/>
      <c r="I262" s="77"/>
      <c r="J262" s="77"/>
      <c r="K262" s="77">
        <f t="shared" si="33"/>
        <v>1</v>
      </c>
      <c r="AA262" s="87" t="s">
        <v>46</v>
      </c>
      <c r="AB262" s="180"/>
      <c r="AC262" s="180"/>
      <c r="AD262" s="180"/>
      <c r="AE262" s="180"/>
      <c r="AF262" s="180"/>
      <c r="AG262" s="180"/>
      <c r="AH262" s="180">
        <v>1</v>
      </c>
      <c r="AI262" s="180"/>
      <c r="AJ262" s="180"/>
      <c r="AK262" s="86">
        <f t="shared" si="37"/>
        <v>1</v>
      </c>
      <c r="AM262" s="180"/>
    </row>
    <row r="263" spans="1:39" x14ac:dyDescent="0.45">
      <c r="A263" s="83" t="s">
        <v>55</v>
      </c>
      <c r="B263" s="77"/>
      <c r="C263" s="77"/>
      <c r="D263" s="77"/>
      <c r="E263" s="77"/>
      <c r="F263" s="77"/>
      <c r="G263" s="77"/>
      <c r="H263" s="77"/>
      <c r="I263" s="77"/>
      <c r="J263" s="77"/>
      <c r="K263" s="77">
        <f t="shared" si="33"/>
        <v>0</v>
      </c>
      <c r="AA263" s="87" t="s">
        <v>13</v>
      </c>
      <c r="AB263" s="180"/>
      <c r="AC263" s="180"/>
      <c r="AD263" s="180"/>
      <c r="AE263" s="180"/>
      <c r="AF263" s="180"/>
      <c r="AG263" s="180"/>
      <c r="AH263" s="180">
        <v>5</v>
      </c>
      <c r="AI263" s="180">
        <v>20</v>
      </c>
      <c r="AJ263" s="180">
        <v>1</v>
      </c>
      <c r="AK263" s="86">
        <f t="shared" si="37"/>
        <v>26</v>
      </c>
      <c r="AM263" s="180">
        <v>4</v>
      </c>
    </row>
    <row r="264" spans="1:39" x14ac:dyDescent="0.45">
      <c r="A264" s="78" t="s">
        <v>17</v>
      </c>
      <c r="B264" s="77"/>
      <c r="C264" s="77"/>
      <c r="D264" s="77">
        <v>2</v>
      </c>
      <c r="E264" s="77"/>
      <c r="F264" s="77"/>
      <c r="G264" s="77"/>
      <c r="H264" s="77"/>
      <c r="I264" s="77"/>
      <c r="J264" s="77"/>
      <c r="K264" s="77">
        <f t="shared" si="33"/>
        <v>2</v>
      </c>
      <c r="AA264" s="87" t="s">
        <v>14</v>
      </c>
      <c r="AB264" s="180"/>
      <c r="AC264" s="180"/>
      <c r="AD264" s="180"/>
      <c r="AE264" s="180"/>
      <c r="AF264" s="180">
        <v>6</v>
      </c>
      <c r="AG264" s="180">
        <v>1700</v>
      </c>
      <c r="AH264" s="180">
        <v>150</v>
      </c>
      <c r="AI264" s="180">
        <v>16</v>
      </c>
      <c r="AJ264" s="180"/>
      <c r="AK264" s="86">
        <f t="shared" si="37"/>
        <v>1872</v>
      </c>
      <c r="AM264" s="180">
        <v>40</v>
      </c>
    </row>
    <row r="265" spans="1:39" x14ac:dyDescent="0.45">
      <c r="A265" s="11" t="s">
        <v>24</v>
      </c>
      <c r="B265" s="154">
        <f>SUM(B230:B264)</f>
        <v>6</v>
      </c>
      <c r="C265" s="151">
        <f t="shared" ref="C265:K265" si="38">SUM(C230:C264)</f>
        <v>13</v>
      </c>
      <c r="D265" s="151">
        <f t="shared" si="38"/>
        <v>11</v>
      </c>
      <c r="E265" s="151">
        <f t="shared" si="38"/>
        <v>53</v>
      </c>
      <c r="F265" s="151">
        <f t="shared" si="38"/>
        <v>42</v>
      </c>
      <c r="G265" s="151">
        <f t="shared" si="38"/>
        <v>382</v>
      </c>
      <c r="H265" s="151">
        <f t="shared" si="38"/>
        <v>484</v>
      </c>
      <c r="I265" s="151">
        <f t="shared" si="38"/>
        <v>142</v>
      </c>
      <c r="J265" s="151">
        <f t="shared" si="38"/>
        <v>29</v>
      </c>
      <c r="K265" s="151">
        <f t="shared" si="38"/>
        <v>1162</v>
      </c>
      <c r="AA265" s="87" t="s">
        <v>53</v>
      </c>
      <c r="AB265" s="180"/>
      <c r="AC265" s="180"/>
      <c r="AD265" s="180"/>
      <c r="AE265" s="180"/>
      <c r="AF265" s="180"/>
      <c r="AG265" s="180"/>
      <c r="AH265" s="180">
        <v>1</v>
      </c>
      <c r="AI265" s="180"/>
      <c r="AJ265" s="180"/>
      <c r="AK265" s="86">
        <f t="shared" si="37"/>
        <v>1</v>
      </c>
      <c r="AM265" s="180"/>
    </row>
    <row r="266" spans="1:39" x14ac:dyDescent="0.45">
      <c r="AA266" s="87" t="s">
        <v>15</v>
      </c>
      <c r="AB266" s="180"/>
      <c r="AC266" s="180"/>
      <c r="AD266" s="180"/>
      <c r="AE266" s="180"/>
      <c r="AF266" s="180">
        <v>7</v>
      </c>
      <c r="AG266" s="180">
        <v>60</v>
      </c>
      <c r="AH266" s="180">
        <v>54</v>
      </c>
      <c r="AI266" s="180"/>
      <c r="AJ266" s="180">
        <v>1</v>
      </c>
      <c r="AK266" s="86">
        <f t="shared" si="37"/>
        <v>122</v>
      </c>
      <c r="AM266" s="180">
        <v>95</v>
      </c>
    </row>
    <row r="267" spans="1:39" x14ac:dyDescent="0.45">
      <c r="AA267" s="87" t="s">
        <v>16</v>
      </c>
      <c r="AB267" s="180"/>
      <c r="AC267" s="180"/>
      <c r="AD267" s="180"/>
      <c r="AE267" s="180">
        <v>2</v>
      </c>
      <c r="AF267" s="180"/>
      <c r="AG267" s="180"/>
      <c r="AH267" s="180">
        <v>2</v>
      </c>
      <c r="AI267" s="180">
        <v>2</v>
      </c>
      <c r="AJ267" s="180">
        <v>1</v>
      </c>
      <c r="AK267" s="86">
        <f t="shared" si="37"/>
        <v>7</v>
      </c>
      <c r="AM267" s="180">
        <v>1</v>
      </c>
    </row>
    <row r="268" spans="1:39" x14ac:dyDescent="0.45">
      <c r="A268" s="1" t="s">
        <v>222</v>
      </c>
      <c r="AA268" s="170" t="s">
        <v>24</v>
      </c>
      <c r="AB268" s="225">
        <v>0</v>
      </c>
      <c r="AC268" s="226">
        <v>4</v>
      </c>
      <c r="AD268" s="226">
        <v>17</v>
      </c>
      <c r="AE268" s="226">
        <v>7</v>
      </c>
      <c r="AF268" s="226">
        <v>24</v>
      </c>
      <c r="AG268" s="226">
        <v>6583</v>
      </c>
      <c r="AH268" s="226">
        <v>1861</v>
      </c>
      <c r="AI268" s="226">
        <v>368</v>
      </c>
      <c r="AJ268" s="226">
        <v>11</v>
      </c>
      <c r="AK268" s="227">
        <f>SUM(AK250:AK267)</f>
        <v>8875</v>
      </c>
      <c r="AM268" s="226">
        <v>382</v>
      </c>
    </row>
    <row r="269" spans="1:39" x14ac:dyDescent="0.45">
      <c r="A269" s="1" t="s">
        <v>138</v>
      </c>
    </row>
    <row r="271" spans="1:39" x14ac:dyDescent="0.45">
      <c r="A271" s="180"/>
      <c r="B271" s="1" t="s">
        <v>20</v>
      </c>
      <c r="C271" s="180"/>
      <c r="D271" s="180"/>
      <c r="E271" s="180"/>
      <c r="F271" s="1" t="s">
        <v>21</v>
      </c>
      <c r="G271" s="180"/>
      <c r="H271" s="180"/>
      <c r="I271" s="180"/>
      <c r="J271" s="180"/>
      <c r="K271" s="180"/>
    </row>
    <row r="272" spans="1:39" x14ac:dyDescent="0.45">
      <c r="A272" s="26" t="s">
        <v>19</v>
      </c>
      <c r="B272" s="88">
        <v>13</v>
      </c>
      <c r="C272" s="91">
        <v>18</v>
      </c>
      <c r="D272" s="91">
        <v>23</v>
      </c>
      <c r="E272" s="91">
        <v>28</v>
      </c>
      <c r="F272" s="91">
        <v>3</v>
      </c>
      <c r="G272" s="91">
        <v>8</v>
      </c>
      <c r="H272" s="91">
        <v>13</v>
      </c>
      <c r="I272" s="91">
        <v>18</v>
      </c>
      <c r="J272" s="91">
        <v>23</v>
      </c>
      <c r="K272" s="8" t="s">
        <v>24</v>
      </c>
    </row>
    <row r="273" spans="1:11" x14ac:dyDescent="0.45">
      <c r="A273" s="3" t="s">
        <v>1</v>
      </c>
      <c r="B273" s="77"/>
      <c r="C273" s="77"/>
      <c r="D273" s="77"/>
      <c r="E273" s="77">
        <v>1</v>
      </c>
      <c r="F273" s="77"/>
      <c r="G273" s="77">
        <v>1</v>
      </c>
      <c r="H273" s="77">
        <v>3</v>
      </c>
      <c r="I273" s="77">
        <v>2</v>
      </c>
      <c r="J273" s="77"/>
      <c r="K273" s="77">
        <f>SUM(B273:J273)</f>
        <v>7</v>
      </c>
    </row>
    <row r="274" spans="1:11" x14ac:dyDescent="0.45">
      <c r="A274" s="83" t="s">
        <v>49</v>
      </c>
      <c r="B274" s="77"/>
      <c r="C274" s="77"/>
      <c r="D274" s="77"/>
      <c r="E274" s="77"/>
      <c r="F274" s="77"/>
      <c r="G274" s="77"/>
      <c r="H274" s="77"/>
      <c r="I274" s="77"/>
      <c r="J274" s="77"/>
      <c r="K274" s="77">
        <f t="shared" ref="K274:K307" si="39">SUM(B274:J274)</f>
        <v>0</v>
      </c>
    </row>
    <row r="275" spans="1:11" x14ac:dyDescent="0.45">
      <c r="A275" s="83" t="s">
        <v>45</v>
      </c>
      <c r="B275" s="77"/>
      <c r="C275" s="77"/>
      <c r="D275" s="77"/>
      <c r="E275" s="77"/>
      <c r="F275" s="77"/>
      <c r="G275" s="77"/>
      <c r="H275" s="77"/>
      <c r="I275" s="77"/>
      <c r="J275" s="77"/>
      <c r="K275" s="77">
        <f t="shared" si="39"/>
        <v>0</v>
      </c>
    </row>
    <row r="276" spans="1:11" x14ac:dyDescent="0.45">
      <c r="A276" s="83" t="s">
        <v>41</v>
      </c>
      <c r="B276" s="77"/>
      <c r="C276" s="77">
        <v>9</v>
      </c>
      <c r="D276" s="77">
        <v>4</v>
      </c>
      <c r="E276" s="77">
        <v>3</v>
      </c>
      <c r="F276" s="77"/>
      <c r="G276" s="77">
        <v>2</v>
      </c>
      <c r="H276" s="77">
        <v>2</v>
      </c>
      <c r="I276" s="77">
        <v>1</v>
      </c>
      <c r="J276" s="77"/>
      <c r="K276" s="77">
        <f t="shared" si="39"/>
        <v>21</v>
      </c>
    </row>
    <row r="277" spans="1:11" x14ac:dyDescent="0.45">
      <c r="A277" s="3" t="s">
        <v>2</v>
      </c>
      <c r="B277" s="77"/>
      <c r="C277" s="77"/>
      <c r="D277" s="77"/>
      <c r="E277" s="77">
        <v>1</v>
      </c>
      <c r="F277" s="77">
        <v>2</v>
      </c>
      <c r="G277" s="77">
        <v>4</v>
      </c>
      <c r="H277" s="77">
        <v>2</v>
      </c>
      <c r="I277" s="77">
        <v>1</v>
      </c>
      <c r="J277" s="77"/>
      <c r="K277" s="77">
        <f t="shared" si="39"/>
        <v>10</v>
      </c>
    </row>
    <row r="278" spans="1:11" x14ac:dyDescent="0.45">
      <c r="A278" s="83" t="s">
        <v>43</v>
      </c>
      <c r="B278" s="77"/>
      <c r="C278" s="77"/>
      <c r="D278" s="77"/>
      <c r="E278" s="77"/>
      <c r="F278" s="77"/>
      <c r="G278" s="77"/>
      <c r="H278" s="77"/>
      <c r="I278" s="77"/>
      <c r="J278" s="77"/>
      <c r="K278" s="77">
        <f t="shared" si="39"/>
        <v>0</v>
      </c>
    </row>
    <row r="279" spans="1:11" x14ac:dyDescent="0.45">
      <c r="A279" s="3" t="s">
        <v>3</v>
      </c>
      <c r="B279" s="77"/>
      <c r="C279" s="77">
        <v>9</v>
      </c>
      <c r="D279" s="77">
        <v>11</v>
      </c>
      <c r="E279" s="77">
        <v>4</v>
      </c>
      <c r="F279" s="77">
        <v>4</v>
      </c>
      <c r="G279" s="77">
        <v>7</v>
      </c>
      <c r="H279" s="77">
        <v>5</v>
      </c>
      <c r="I279" s="77">
        <v>6</v>
      </c>
      <c r="J279" s="77">
        <v>5</v>
      </c>
      <c r="K279" s="77">
        <f t="shared" si="39"/>
        <v>51</v>
      </c>
    </row>
    <row r="280" spans="1:11" x14ac:dyDescent="0.45">
      <c r="A280" s="3" t="s">
        <v>4</v>
      </c>
      <c r="B280" s="77"/>
      <c r="C280" s="77"/>
      <c r="D280" s="77"/>
      <c r="E280" s="77"/>
      <c r="F280" s="77"/>
      <c r="G280" s="77"/>
      <c r="H280" s="77"/>
      <c r="I280" s="77"/>
      <c r="J280" s="77"/>
      <c r="K280" s="77">
        <f t="shared" si="39"/>
        <v>0</v>
      </c>
    </row>
    <row r="281" spans="1:11" x14ac:dyDescent="0.45">
      <c r="A281" s="83" t="s">
        <v>48</v>
      </c>
      <c r="B281" s="77"/>
      <c r="C281" s="77"/>
      <c r="D281" s="77"/>
      <c r="E281" s="77"/>
      <c r="F281" s="77"/>
      <c r="G281" s="77"/>
      <c r="H281" s="77"/>
      <c r="I281" s="77"/>
      <c r="J281" s="77"/>
      <c r="K281" s="77">
        <f t="shared" si="39"/>
        <v>0</v>
      </c>
    </row>
    <row r="282" spans="1:11" x14ac:dyDescent="0.45">
      <c r="A282" s="3" t="s">
        <v>6</v>
      </c>
      <c r="B282" s="77"/>
      <c r="C282" s="77"/>
      <c r="D282" s="77"/>
      <c r="E282" s="77"/>
      <c r="F282" s="77"/>
      <c r="G282" s="77"/>
      <c r="H282" s="77"/>
      <c r="I282" s="77"/>
      <c r="J282" s="77">
        <v>2</v>
      </c>
      <c r="K282" s="77">
        <f t="shared" si="39"/>
        <v>2</v>
      </c>
    </row>
    <row r="283" spans="1:11" x14ac:dyDescent="0.45">
      <c r="A283" s="3" t="s">
        <v>7</v>
      </c>
      <c r="B283" s="77"/>
      <c r="C283" s="77"/>
      <c r="D283" s="77"/>
      <c r="E283" s="77"/>
      <c r="F283" s="77">
        <v>7</v>
      </c>
      <c r="G283" s="77"/>
      <c r="H283" s="77">
        <v>7</v>
      </c>
      <c r="I283" s="77">
        <v>8</v>
      </c>
      <c r="J283" s="77">
        <v>5</v>
      </c>
      <c r="K283" s="77">
        <f t="shared" si="39"/>
        <v>27</v>
      </c>
    </row>
    <row r="284" spans="1:11" x14ac:dyDescent="0.45">
      <c r="A284" s="101" t="s">
        <v>83</v>
      </c>
      <c r="B284" s="77"/>
      <c r="C284" s="77"/>
      <c r="D284" s="77"/>
      <c r="E284" s="77"/>
      <c r="F284" s="77"/>
      <c r="G284" s="77"/>
      <c r="H284" s="77"/>
      <c r="I284" s="77"/>
      <c r="J284" s="77"/>
      <c r="K284" s="77">
        <f t="shared" si="39"/>
        <v>0</v>
      </c>
    </row>
    <row r="285" spans="1:11" x14ac:dyDescent="0.45">
      <c r="A285" s="83" t="s">
        <v>50</v>
      </c>
      <c r="B285" s="77"/>
      <c r="C285" s="77"/>
      <c r="D285" s="77"/>
      <c r="E285" s="77"/>
      <c r="F285" s="77"/>
      <c r="G285" s="77"/>
      <c r="H285" s="77"/>
      <c r="I285" s="77"/>
      <c r="J285" s="77"/>
      <c r="K285" s="77">
        <f t="shared" si="39"/>
        <v>0</v>
      </c>
    </row>
    <row r="286" spans="1:11" x14ac:dyDescent="0.45">
      <c r="A286" s="83" t="s">
        <v>51</v>
      </c>
      <c r="B286" s="77"/>
      <c r="C286" s="77"/>
      <c r="D286" s="77"/>
      <c r="E286" s="77"/>
      <c r="F286" s="77"/>
      <c r="G286" s="77"/>
      <c r="H286" s="77"/>
      <c r="I286" s="77"/>
      <c r="J286" s="77"/>
      <c r="K286" s="77">
        <f t="shared" si="39"/>
        <v>0</v>
      </c>
    </row>
    <row r="287" spans="1:11" x14ac:dyDescent="0.45">
      <c r="A287" s="83" t="s">
        <v>42</v>
      </c>
      <c r="B287" s="77"/>
      <c r="C287" s="77"/>
      <c r="D287" s="77"/>
      <c r="E287" s="77"/>
      <c r="F287" s="77"/>
      <c r="G287" s="77"/>
      <c r="H287" s="77"/>
      <c r="I287" s="77">
        <v>1</v>
      </c>
      <c r="J287" s="77"/>
      <c r="K287" s="77">
        <f t="shared" si="39"/>
        <v>1</v>
      </c>
    </row>
    <row r="288" spans="1:11" x14ac:dyDescent="0.45">
      <c r="A288" s="3" t="s">
        <v>8</v>
      </c>
      <c r="B288" s="77"/>
      <c r="C288" s="77"/>
      <c r="D288" s="77"/>
      <c r="E288" s="77"/>
      <c r="F288" s="77"/>
      <c r="G288" s="77">
        <v>1</v>
      </c>
      <c r="H288" s="77"/>
      <c r="I288" s="77"/>
      <c r="J288" s="77"/>
      <c r="K288" s="77">
        <f t="shared" si="39"/>
        <v>1</v>
      </c>
    </row>
    <row r="289" spans="1:11" x14ac:dyDescent="0.45">
      <c r="A289" s="3" t="s">
        <v>9</v>
      </c>
      <c r="B289" s="77"/>
      <c r="C289" s="77"/>
      <c r="D289" s="77"/>
      <c r="E289" s="77"/>
      <c r="F289" s="77"/>
      <c r="G289" s="77"/>
      <c r="H289" s="77"/>
      <c r="I289" s="77"/>
      <c r="J289" s="77"/>
      <c r="K289" s="77">
        <f t="shared" si="39"/>
        <v>0</v>
      </c>
    </row>
    <row r="290" spans="1:11" x14ac:dyDescent="0.45">
      <c r="A290" s="83" t="s">
        <v>44</v>
      </c>
      <c r="B290" s="77"/>
      <c r="C290" s="77"/>
      <c r="D290" s="77"/>
      <c r="E290" s="77"/>
      <c r="F290" s="77"/>
      <c r="G290" s="77"/>
      <c r="H290" s="77"/>
      <c r="I290" s="77"/>
      <c r="J290" s="77"/>
      <c r="K290" s="77">
        <f t="shared" si="39"/>
        <v>0</v>
      </c>
    </row>
    <row r="291" spans="1:11" x14ac:dyDescent="0.45">
      <c r="A291" s="3" t="s">
        <v>10</v>
      </c>
      <c r="B291" s="77"/>
      <c r="C291" s="77"/>
      <c r="D291" s="77"/>
      <c r="E291" s="77"/>
      <c r="F291" s="77"/>
      <c r="G291" s="77"/>
      <c r="H291" s="77"/>
      <c r="I291" s="77"/>
      <c r="J291" s="77"/>
      <c r="K291" s="77">
        <f t="shared" si="39"/>
        <v>0</v>
      </c>
    </row>
    <row r="292" spans="1:11" x14ac:dyDescent="0.45">
      <c r="A292" s="3" t="s">
        <v>11</v>
      </c>
      <c r="B292" s="77"/>
      <c r="C292" s="77"/>
      <c r="D292" s="77"/>
      <c r="E292" s="77"/>
      <c r="F292" s="77"/>
      <c r="G292" s="77">
        <v>16</v>
      </c>
      <c r="H292" s="77">
        <v>50</v>
      </c>
      <c r="I292" s="77">
        <v>12</v>
      </c>
      <c r="J292" s="77">
        <v>2</v>
      </c>
      <c r="K292" s="77">
        <f t="shared" si="39"/>
        <v>80</v>
      </c>
    </row>
    <row r="293" spans="1:11" x14ac:dyDescent="0.45">
      <c r="A293" s="3" t="s">
        <v>12</v>
      </c>
      <c r="B293" s="77"/>
      <c r="C293" s="77"/>
      <c r="D293" s="77"/>
      <c r="E293" s="77"/>
      <c r="F293" s="77"/>
      <c r="G293" s="77"/>
      <c r="H293" s="77"/>
      <c r="I293" s="77">
        <v>3</v>
      </c>
      <c r="J293" s="77"/>
      <c r="K293" s="77">
        <f t="shared" si="39"/>
        <v>3</v>
      </c>
    </row>
    <row r="294" spans="1:11" x14ac:dyDescent="0.45">
      <c r="A294" s="83" t="s">
        <v>32</v>
      </c>
      <c r="B294" s="77"/>
      <c r="C294" s="77"/>
      <c r="D294" s="77"/>
      <c r="E294" s="77"/>
      <c r="F294" s="77"/>
      <c r="G294" s="77"/>
      <c r="H294" s="77"/>
      <c r="I294" s="77"/>
      <c r="J294" s="77">
        <v>1</v>
      </c>
      <c r="K294" s="77">
        <f t="shared" si="39"/>
        <v>1</v>
      </c>
    </row>
    <row r="295" spans="1:11" x14ac:dyDescent="0.45">
      <c r="A295" s="3" t="s">
        <v>18</v>
      </c>
      <c r="B295" s="77"/>
      <c r="C295" s="77"/>
      <c r="D295" s="77"/>
      <c r="E295" s="77"/>
      <c r="F295" s="77"/>
      <c r="G295" s="77"/>
      <c r="H295" s="77"/>
      <c r="I295" s="77">
        <v>3</v>
      </c>
      <c r="J295" s="77"/>
      <c r="K295" s="77">
        <f t="shared" si="39"/>
        <v>3</v>
      </c>
    </row>
    <row r="296" spans="1:11" x14ac:dyDescent="0.45">
      <c r="A296" s="83" t="s">
        <v>46</v>
      </c>
      <c r="B296" s="77"/>
      <c r="C296" s="77"/>
      <c r="D296" s="77"/>
      <c r="E296" s="77"/>
      <c r="F296" s="77"/>
      <c r="G296" s="77"/>
      <c r="H296" s="77"/>
      <c r="I296" s="77"/>
      <c r="J296" s="77"/>
      <c r="K296" s="77">
        <f t="shared" si="39"/>
        <v>0</v>
      </c>
    </row>
    <row r="297" spans="1:11" x14ac:dyDescent="0.45">
      <c r="A297" s="3" t="s">
        <v>13</v>
      </c>
      <c r="B297" s="77"/>
      <c r="C297" s="77"/>
      <c r="D297" s="77"/>
      <c r="E297" s="77"/>
      <c r="F297" s="77"/>
      <c r="G297" s="77"/>
      <c r="H297" s="77"/>
      <c r="I297" s="77">
        <v>3</v>
      </c>
      <c r="J297" s="77"/>
      <c r="K297" s="77">
        <f t="shared" si="39"/>
        <v>3</v>
      </c>
    </row>
    <row r="298" spans="1:11" x14ac:dyDescent="0.45">
      <c r="A298" s="3" t="s">
        <v>14</v>
      </c>
      <c r="B298" s="77"/>
      <c r="C298" s="77"/>
      <c r="D298" s="77"/>
      <c r="E298" s="77"/>
      <c r="F298" s="77"/>
      <c r="G298" s="77">
        <v>3</v>
      </c>
      <c r="H298" s="77">
        <v>28</v>
      </c>
      <c r="I298" s="77">
        <v>6</v>
      </c>
      <c r="J298" s="77">
        <v>4</v>
      </c>
      <c r="K298" s="77">
        <f t="shared" si="39"/>
        <v>41</v>
      </c>
    </row>
    <row r="299" spans="1:11" x14ac:dyDescent="0.45">
      <c r="A299" s="83" t="s">
        <v>40</v>
      </c>
      <c r="B299" s="77"/>
      <c r="C299" s="77"/>
      <c r="D299" s="77"/>
      <c r="E299" s="77"/>
      <c r="F299" s="77"/>
      <c r="G299" s="77"/>
      <c r="H299" s="77"/>
      <c r="I299" s="77"/>
      <c r="J299" s="77"/>
      <c r="K299" s="77">
        <f t="shared" si="39"/>
        <v>0</v>
      </c>
    </row>
    <row r="300" spans="1:11" x14ac:dyDescent="0.45">
      <c r="A300" s="83" t="s">
        <v>52</v>
      </c>
      <c r="B300" s="77"/>
      <c r="C300" s="77"/>
      <c r="D300" s="77"/>
      <c r="E300" s="77"/>
      <c r="F300" s="77"/>
      <c r="G300" s="77"/>
      <c r="H300" s="77"/>
      <c r="I300" s="77"/>
      <c r="J300" s="77"/>
      <c r="K300" s="77">
        <f t="shared" si="39"/>
        <v>0</v>
      </c>
    </row>
    <row r="301" spans="1:11" x14ac:dyDescent="0.45">
      <c r="A301" s="83" t="s">
        <v>53</v>
      </c>
      <c r="B301" s="77"/>
      <c r="C301" s="77"/>
      <c r="D301" s="77"/>
      <c r="E301" s="77"/>
      <c r="F301" s="77"/>
      <c r="G301" s="77"/>
      <c r="H301" s="77"/>
      <c r="I301" s="77"/>
      <c r="J301" s="77"/>
      <c r="K301" s="77">
        <f t="shared" si="39"/>
        <v>0</v>
      </c>
    </row>
    <row r="302" spans="1:11" x14ac:dyDescent="0.45">
      <c r="A302" s="3" t="s">
        <v>15</v>
      </c>
      <c r="B302" s="77"/>
      <c r="C302" s="77"/>
      <c r="D302" s="77"/>
      <c r="E302" s="77"/>
      <c r="F302" s="77"/>
      <c r="G302" s="77">
        <v>1</v>
      </c>
      <c r="H302" s="77">
        <v>7</v>
      </c>
      <c r="I302" s="77">
        <v>3</v>
      </c>
      <c r="J302" s="77"/>
      <c r="K302" s="77">
        <f t="shared" si="39"/>
        <v>11</v>
      </c>
    </row>
    <row r="303" spans="1:11" x14ac:dyDescent="0.45">
      <c r="A303" s="83" t="s">
        <v>54</v>
      </c>
      <c r="B303" s="77"/>
      <c r="C303" s="77"/>
      <c r="D303" s="77"/>
      <c r="E303" s="77"/>
      <c r="F303" s="77"/>
      <c r="G303" s="77"/>
      <c r="H303" s="77">
        <v>2</v>
      </c>
      <c r="I303" s="77"/>
      <c r="J303" s="77"/>
      <c r="K303" s="77">
        <f t="shared" si="39"/>
        <v>2</v>
      </c>
    </row>
    <row r="304" spans="1:11" x14ac:dyDescent="0.45">
      <c r="A304" s="83" t="s">
        <v>47</v>
      </c>
      <c r="B304" s="77"/>
      <c r="C304" s="77"/>
      <c r="D304" s="77"/>
      <c r="E304" s="77"/>
      <c r="F304" s="77"/>
      <c r="G304" s="77"/>
      <c r="H304" s="77"/>
      <c r="I304" s="77"/>
      <c r="J304" s="77">
        <v>8</v>
      </c>
      <c r="K304" s="77">
        <f t="shared" si="39"/>
        <v>8</v>
      </c>
    </row>
    <row r="305" spans="1:11" x14ac:dyDescent="0.45">
      <c r="A305" s="3" t="s">
        <v>16</v>
      </c>
      <c r="B305" s="77"/>
      <c r="C305" s="77"/>
      <c r="D305" s="77"/>
      <c r="E305" s="77"/>
      <c r="F305" s="77"/>
      <c r="G305" s="77"/>
      <c r="H305" s="77"/>
      <c r="I305" s="77"/>
      <c r="J305" s="77"/>
      <c r="K305" s="77">
        <f t="shared" si="39"/>
        <v>0</v>
      </c>
    </row>
    <row r="306" spans="1:11" x14ac:dyDescent="0.45">
      <c r="A306" s="83" t="s">
        <v>55</v>
      </c>
      <c r="B306" s="77"/>
      <c r="C306" s="77"/>
      <c r="D306" s="77"/>
      <c r="E306" s="77"/>
      <c r="F306" s="77"/>
      <c r="G306" s="77"/>
      <c r="H306" s="77"/>
      <c r="I306" s="77"/>
      <c r="J306" s="77"/>
      <c r="K306" s="77">
        <f t="shared" si="39"/>
        <v>0</v>
      </c>
    </row>
    <row r="307" spans="1:11" x14ac:dyDescent="0.45">
      <c r="A307" s="78" t="s">
        <v>17</v>
      </c>
      <c r="B307" s="77"/>
      <c r="C307" s="77"/>
      <c r="D307" s="77"/>
      <c r="E307" s="77"/>
      <c r="F307" s="77"/>
      <c r="G307" s="77"/>
      <c r="H307" s="77"/>
      <c r="I307" s="77"/>
      <c r="J307" s="77">
        <v>1</v>
      </c>
      <c r="K307" s="77">
        <f t="shared" si="39"/>
        <v>1</v>
      </c>
    </row>
    <row r="308" spans="1:11" x14ac:dyDescent="0.45">
      <c r="A308" s="11" t="s">
        <v>24</v>
      </c>
      <c r="B308" s="154">
        <f>SUM(B273:B307)</f>
        <v>0</v>
      </c>
      <c r="C308" s="151">
        <f t="shared" ref="C308:K308" si="40">SUM(C273:C307)</f>
        <v>18</v>
      </c>
      <c r="D308" s="151">
        <f t="shared" si="40"/>
        <v>15</v>
      </c>
      <c r="E308" s="151">
        <f t="shared" si="40"/>
        <v>9</v>
      </c>
      <c r="F308" s="151">
        <f t="shared" si="40"/>
        <v>13</v>
      </c>
      <c r="G308" s="151">
        <f t="shared" si="40"/>
        <v>35</v>
      </c>
      <c r="H308" s="151">
        <f t="shared" si="40"/>
        <v>106</v>
      </c>
      <c r="I308" s="151">
        <f t="shared" si="40"/>
        <v>49</v>
      </c>
      <c r="J308" s="151">
        <f t="shared" si="40"/>
        <v>28</v>
      </c>
      <c r="K308" s="151">
        <f t="shared" si="40"/>
        <v>273</v>
      </c>
    </row>
  </sheetData>
  <sortState xmlns:xlrd2="http://schemas.microsoft.com/office/spreadsheetml/2017/richdata2" ref="AQ47:AY73">
    <sortCondition descending="1" ref="AY47:AY73"/>
  </sortState>
  <pageMargins left="0.7" right="0.7" top="0.75" bottom="0.75" header="0.3" footer="0.3"/>
  <pageSetup orientation="portrait" horizontalDpi="4294967293" verticalDpi="0" r:id="rId1"/>
  <ignoredErrors>
    <ignoredError sqref="B177:J177 AB88 B91:J91 AB129:AJ129 B134:J134 AB45:AJ45 B47:J47 AD88:AJ88" formulaRang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K1344"/>
  <sheetViews>
    <sheetView zoomScaleNormal="100" workbookViewId="0"/>
  </sheetViews>
  <sheetFormatPr defaultRowHeight="14.25" x14ac:dyDescent="0.45"/>
  <cols>
    <col min="1" max="1" width="27.73046875" customWidth="1"/>
    <col min="2" max="31" width="10.73046875" customWidth="1"/>
    <col min="32" max="35" width="9.1328125" customWidth="1"/>
    <col min="36" max="36" width="9.265625" bestFit="1" customWidth="1"/>
    <col min="37" max="37" width="9.59765625" bestFit="1" customWidth="1"/>
    <col min="38" max="40" width="9.265625" bestFit="1" customWidth="1"/>
    <col min="41" max="41" width="27.59765625" customWidth="1"/>
    <col min="42" max="43" width="12.59765625" customWidth="1"/>
    <col min="46" max="46" width="9.86328125" bestFit="1" customWidth="1"/>
    <col min="47" max="47" width="9.1328125" bestFit="1" customWidth="1"/>
    <col min="48" max="48" width="9.265625" bestFit="1" customWidth="1"/>
    <col min="49" max="49" width="9.3984375" bestFit="1" customWidth="1"/>
    <col min="50" max="51" width="9.73046875" bestFit="1" customWidth="1"/>
    <col min="52" max="53" width="9.59765625" bestFit="1" customWidth="1"/>
    <col min="54" max="55" width="9.265625" bestFit="1" customWidth="1"/>
    <col min="56" max="56" width="9.59765625" bestFit="1" customWidth="1"/>
  </cols>
  <sheetData>
    <row r="1" spans="1:63" x14ac:dyDescent="0.45">
      <c r="A1" s="1" t="s">
        <v>697</v>
      </c>
    </row>
    <row r="2" spans="1:63" x14ac:dyDescent="0.45">
      <c r="X2" s="2"/>
      <c r="AP2" t="s">
        <v>702</v>
      </c>
    </row>
    <row r="3" spans="1:63" x14ac:dyDescent="0.45">
      <c r="A3" s="2" t="s">
        <v>176</v>
      </c>
      <c r="AP3" s="260" t="s">
        <v>698</v>
      </c>
      <c r="AQ3" s="138" t="s">
        <v>699</v>
      </c>
    </row>
    <row r="4" spans="1:63" x14ac:dyDescent="0.45">
      <c r="A4" s="2" t="s">
        <v>177</v>
      </c>
      <c r="AO4" s="26" t="s">
        <v>19</v>
      </c>
      <c r="AP4" s="259" t="s">
        <v>700</v>
      </c>
      <c r="AQ4" s="22" t="s">
        <v>701</v>
      </c>
    </row>
    <row r="5" spans="1:63" x14ac:dyDescent="0.45">
      <c r="A5" t="s">
        <v>215</v>
      </c>
      <c r="AO5" s="3" t="s">
        <v>1</v>
      </c>
      <c r="AP5" s="17">
        <f>SUM(B9:H9)/7</f>
        <v>14.428571428571429</v>
      </c>
      <c r="AQ5" s="17">
        <f>SUM(I9:S9)/11</f>
        <v>178.90909090909091</v>
      </c>
    </row>
    <row r="6" spans="1:63" x14ac:dyDescent="0.45">
      <c r="A6" s="1"/>
      <c r="B6" s="1"/>
      <c r="C6" s="1"/>
      <c r="D6" s="1"/>
      <c r="E6" s="1"/>
      <c r="F6" s="1"/>
      <c r="G6" s="1"/>
      <c r="H6" s="1"/>
      <c r="I6" s="27" t="s">
        <v>72</v>
      </c>
      <c r="J6" s="27" t="s">
        <v>72</v>
      </c>
      <c r="K6" s="27" t="s">
        <v>72</v>
      </c>
      <c r="L6" s="27" t="s">
        <v>72</v>
      </c>
      <c r="M6" s="27" t="s">
        <v>72</v>
      </c>
      <c r="N6" s="27" t="s">
        <v>72</v>
      </c>
      <c r="O6" s="27" t="s">
        <v>72</v>
      </c>
      <c r="P6" s="27" t="s">
        <v>72</v>
      </c>
      <c r="Q6" s="27" t="s">
        <v>72</v>
      </c>
      <c r="R6" s="27" t="s">
        <v>72</v>
      </c>
      <c r="S6" s="27" t="s">
        <v>72</v>
      </c>
      <c r="AO6" s="3" t="s">
        <v>45</v>
      </c>
      <c r="AP6" s="17">
        <f t="shared" ref="AP6:AP35" si="0">SUM(B10:H10)/7</f>
        <v>5.8571428571428568</v>
      </c>
      <c r="AQ6" s="17">
        <f t="shared" ref="AQ6:AQ35" si="1">SUM(I10:S10)/11</f>
        <v>0.54545454545454541</v>
      </c>
      <c r="BD6" s="86"/>
    </row>
    <row r="7" spans="1:63" x14ac:dyDescent="0.45">
      <c r="A7" s="1"/>
      <c r="B7" s="1"/>
      <c r="C7" s="1"/>
      <c r="D7" s="1"/>
      <c r="E7" s="1"/>
      <c r="F7" s="1"/>
      <c r="G7" s="1"/>
      <c r="H7" s="1"/>
      <c r="I7" s="27" t="s">
        <v>117</v>
      </c>
      <c r="J7" s="27" t="s">
        <v>117</v>
      </c>
      <c r="K7" s="27" t="s">
        <v>117</v>
      </c>
      <c r="L7" s="27" t="s">
        <v>117</v>
      </c>
      <c r="M7" s="27" t="s">
        <v>117</v>
      </c>
      <c r="N7" s="27" t="s">
        <v>117</v>
      </c>
      <c r="O7" s="27" t="s">
        <v>117</v>
      </c>
      <c r="P7" s="27" t="s">
        <v>117</v>
      </c>
      <c r="Q7" s="27" t="s">
        <v>117</v>
      </c>
      <c r="R7" s="27" t="s">
        <v>117</v>
      </c>
      <c r="S7" s="27" t="s">
        <v>117</v>
      </c>
      <c r="AO7" s="3" t="s">
        <v>41</v>
      </c>
      <c r="AP7" s="17">
        <f t="shared" si="0"/>
        <v>1</v>
      </c>
      <c r="AQ7" s="17">
        <f t="shared" si="1"/>
        <v>27.90909090909091</v>
      </c>
      <c r="BD7" s="86"/>
      <c r="BK7" s="2"/>
    </row>
    <row r="8" spans="1:63" x14ac:dyDescent="0.45">
      <c r="A8" s="26" t="s">
        <v>19</v>
      </c>
      <c r="B8" s="8">
        <v>1986</v>
      </c>
      <c r="C8" s="8">
        <v>1989</v>
      </c>
      <c r="D8" s="8">
        <v>1990</v>
      </c>
      <c r="E8" s="8">
        <v>1991</v>
      </c>
      <c r="F8" s="8">
        <v>1992</v>
      </c>
      <c r="G8" s="8">
        <v>1993</v>
      </c>
      <c r="H8" s="8">
        <v>1994</v>
      </c>
      <c r="I8" s="8">
        <v>2009</v>
      </c>
      <c r="J8" s="8">
        <v>2010</v>
      </c>
      <c r="K8" s="8">
        <v>2011</v>
      </c>
      <c r="L8" s="8">
        <v>2012</v>
      </c>
      <c r="M8" s="8">
        <v>2013</v>
      </c>
      <c r="N8" s="8">
        <v>2014</v>
      </c>
      <c r="O8" s="8">
        <v>2015</v>
      </c>
      <c r="P8" s="8">
        <v>2016</v>
      </c>
      <c r="Q8" s="8">
        <v>2017</v>
      </c>
      <c r="R8" s="8">
        <v>2018</v>
      </c>
      <c r="S8" s="8">
        <v>2019</v>
      </c>
      <c r="AO8" s="3" t="s">
        <v>2</v>
      </c>
      <c r="AP8" s="17">
        <f t="shared" si="0"/>
        <v>112.57142857142857</v>
      </c>
      <c r="AQ8" s="17">
        <f t="shared" si="1"/>
        <v>175.36363636363637</v>
      </c>
      <c r="BD8" s="86"/>
      <c r="BK8" s="2"/>
    </row>
    <row r="9" spans="1:63" x14ac:dyDescent="0.45">
      <c r="A9" s="3" t="s">
        <v>1</v>
      </c>
      <c r="B9" s="74">
        <v>6</v>
      </c>
      <c r="C9" s="74">
        <v>8</v>
      </c>
      <c r="D9" s="74">
        <v>1</v>
      </c>
      <c r="E9" s="74">
        <v>9</v>
      </c>
      <c r="F9" s="74">
        <v>27</v>
      </c>
      <c r="G9" s="74">
        <v>22</v>
      </c>
      <c r="H9" s="74">
        <v>28</v>
      </c>
      <c r="I9" s="74">
        <v>159</v>
      </c>
      <c r="J9" s="74">
        <v>158</v>
      </c>
      <c r="K9" s="74">
        <v>142</v>
      </c>
      <c r="L9" s="86">
        <v>118</v>
      </c>
      <c r="M9" s="86">
        <v>86</v>
      </c>
      <c r="N9" s="86">
        <v>203</v>
      </c>
      <c r="O9" s="86">
        <v>231</v>
      </c>
      <c r="P9" s="20">
        <v>198</v>
      </c>
      <c r="Q9" s="86">
        <v>230</v>
      </c>
      <c r="R9" s="86">
        <v>257</v>
      </c>
      <c r="S9" s="86">
        <v>186</v>
      </c>
      <c r="AO9" s="3" t="s">
        <v>43</v>
      </c>
      <c r="AP9" s="17">
        <f t="shared" si="0"/>
        <v>0</v>
      </c>
      <c r="AQ9" s="213">
        <f t="shared" si="1"/>
        <v>9.0909090909090912E-2</v>
      </c>
      <c r="BD9" s="86"/>
      <c r="BK9" s="2"/>
    </row>
    <row r="10" spans="1:63" x14ac:dyDescent="0.45">
      <c r="A10" s="3" t="s">
        <v>45</v>
      </c>
      <c r="B10" s="74"/>
      <c r="C10" s="74"/>
      <c r="D10" s="74">
        <v>5</v>
      </c>
      <c r="E10" s="74">
        <v>26</v>
      </c>
      <c r="F10" s="74">
        <v>9</v>
      </c>
      <c r="G10" s="74"/>
      <c r="H10" s="74">
        <v>1</v>
      </c>
      <c r="I10" s="74">
        <v>3</v>
      </c>
      <c r="J10" s="74"/>
      <c r="K10" s="74"/>
      <c r="L10" s="86">
        <v>1</v>
      </c>
      <c r="M10" s="86">
        <v>2</v>
      </c>
      <c r="N10" s="86">
        <v>0</v>
      </c>
      <c r="O10" s="86">
        <v>0</v>
      </c>
      <c r="P10" s="60">
        <v>0</v>
      </c>
      <c r="Q10" s="86">
        <v>0</v>
      </c>
      <c r="R10" s="86">
        <v>0</v>
      </c>
      <c r="S10" s="86">
        <v>0</v>
      </c>
      <c r="AO10" s="3" t="s">
        <v>3</v>
      </c>
      <c r="AP10" s="17">
        <f t="shared" si="0"/>
        <v>3</v>
      </c>
      <c r="AQ10" s="17">
        <f t="shared" si="1"/>
        <v>19</v>
      </c>
      <c r="BD10" s="86"/>
      <c r="BK10" s="2"/>
    </row>
    <row r="11" spans="1:63" x14ac:dyDescent="0.45">
      <c r="A11" s="3" t="s">
        <v>41</v>
      </c>
      <c r="B11" s="74"/>
      <c r="C11" s="74"/>
      <c r="D11" s="74"/>
      <c r="E11" s="74"/>
      <c r="F11" s="74"/>
      <c r="G11" s="74"/>
      <c r="H11" s="74">
        <v>7</v>
      </c>
      <c r="I11" s="74">
        <v>4</v>
      </c>
      <c r="J11" s="74">
        <v>39</v>
      </c>
      <c r="K11" s="74">
        <v>2</v>
      </c>
      <c r="L11" s="86">
        <v>90</v>
      </c>
      <c r="M11" s="86">
        <v>89</v>
      </c>
      <c r="N11" s="86">
        <v>15</v>
      </c>
      <c r="O11" s="86">
        <v>4</v>
      </c>
      <c r="P11" s="20">
        <v>23</v>
      </c>
      <c r="Q11" s="86">
        <v>12</v>
      </c>
      <c r="R11" s="86">
        <v>16</v>
      </c>
      <c r="S11" s="86">
        <v>13</v>
      </c>
      <c r="AO11" s="3" t="s">
        <v>4</v>
      </c>
      <c r="AP11" s="17">
        <f t="shared" si="0"/>
        <v>0</v>
      </c>
      <c r="AQ11" s="17">
        <f t="shared" si="1"/>
        <v>3.9090909090909092</v>
      </c>
      <c r="BD11" s="86"/>
      <c r="BK11" s="2"/>
    </row>
    <row r="12" spans="1:63" x14ac:dyDescent="0.45">
      <c r="A12" s="3" t="s">
        <v>2</v>
      </c>
      <c r="B12" s="74">
        <v>275</v>
      </c>
      <c r="C12" s="74">
        <v>1</v>
      </c>
      <c r="D12" s="74">
        <v>86</v>
      </c>
      <c r="E12" s="74">
        <v>52</v>
      </c>
      <c r="F12" s="74">
        <v>244</v>
      </c>
      <c r="G12" s="74">
        <v>51</v>
      </c>
      <c r="H12" s="74">
        <v>79</v>
      </c>
      <c r="I12" s="74">
        <v>170</v>
      </c>
      <c r="J12" s="74">
        <v>307</v>
      </c>
      <c r="K12" s="74">
        <v>241</v>
      </c>
      <c r="L12" s="86">
        <v>351</v>
      </c>
      <c r="M12" s="86">
        <v>204</v>
      </c>
      <c r="N12" s="86">
        <v>107</v>
      </c>
      <c r="O12" s="86">
        <v>201</v>
      </c>
      <c r="P12" s="60">
        <v>65</v>
      </c>
      <c r="Q12" s="86">
        <v>48</v>
      </c>
      <c r="R12" s="86">
        <v>129</v>
      </c>
      <c r="S12" s="86">
        <v>106</v>
      </c>
      <c r="AO12" s="3" t="s">
        <v>5</v>
      </c>
      <c r="AP12" s="17">
        <f t="shared" si="0"/>
        <v>0</v>
      </c>
      <c r="AQ12" s="17">
        <f t="shared" si="1"/>
        <v>1.0909090909090908</v>
      </c>
      <c r="BD12" s="86"/>
      <c r="BK12" s="2"/>
    </row>
    <row r="13" spans="1:63" x14ac:dyDescent="0.45">
      <c r="A13" s="3" t="s">
        <v>43</v>
      </c>
      <c r="B13" s="74"/>
      <c r="C13" s="74"/>
      <c r="D13" s="74"/>
      <c r="E13" s="74"/>
      <c r="F13" s="74"/>
      <c r="G13" s="74"/>
      <c r="H13" s="74"/>
      <c r="I13" s="74"/>
      <c r="J13" s="74">
        <v>1</v>
      </c>
      <c r="K13" s="74"/>
      <c r="L13" s="86"/>
      <c r="M13" s="86"/>
      <c r="N13" s="86">
        <v>0</v>
      </c>
      <c r="O13" s="86">
        <v>0</v>
      </c>
      <c r="P13" s="20">
        <v>0</v>
      </c>
      <c r="Q13" s="86">
        <v>0</v>
      </c>
      <c r="R13" s="86">
        <v>0</v>
      </c>
      <c r="S13" s="86">
        <v>0</v>
      </c>
      <c r="AO13" s="3" t="s">
        <v>7</v>
      </c>
      <c r="AP13" s="17">
        <f t="shared" si="0"/>
        <v>1.5714285714285714</v>
      </c>
      <c r="AQ13" s="17">
        <f t="shared" si="1"/>
        <v>18.636363636363637</v>
      </c>
      <c r="BD13" s="86"/>
      <c r="BK13" s="2"/>
    </row>
    <row r="14" spans="1:63" x14ac:dyDescent="0.45">
      <c r="A14" s="3" t="s">
        <v>3</v>
      </c>
      <c r="B14" s="74"/>
      <c r="C14" s="74"/>
      <c r="D14" s="74"/>
      <c r="E14" s="74"/>
      <c r="F14" s="74">
        <v>17</v>
      </c>
      <c r="G14" s="74">
        <v>4</v>
      </c>
      <c r="H14" s="74"/>
      <c r="I14" s="74">
        <v>7</v>
      </c>
      <c r="J14" s="74">
        <v>13</v>
      </c>
      <c r="K14" s="74">
        <v>19</v>
      </c>
      <c r="L14" s="86">
        <v>44</v>
      </c>
      <c r="M14" s="86">
        <v>18</v>
      </c>
      <c r="N14" s="86">
        <v>6</v>
      </c>
      <c r="O14" s="86">
        <v>13</v>
      </c>
      <c r="P14" s="20">
        <v>10</v>
      </c>
      <c r="Q14" s="86">
        <v>14</v>
      </c>
      <c r="R14" s="86">
        <v>19</v>
      </c>
      <c r="S14" s="86">
        <v>46</v>
      </c>
      <c r="AO14" s="3" t="s">
        <v>50</v>
      </c>
      <c r="AP14" s="213">
        <f t="shared" si="0"/>
        <v>0.42857142857142855</v>
      </c>
      <c r="AQ14" s="17">
        <f t="shared" si="1"/>
        <v>1.0909090909090908</v>
      </c>
      <c r="BD14" s="86"/>
      <c r="BK14" s="2"/>
    </row>
    <row r="15" spans="1:63" x14ac:dyDescent="0.45">
      <c r="A15" s="3" t="s">
        <v>4</v>
      </c>
      <c r="B15" s="74"/>
      <c r="C15" s="74"/>
      <c r="D15" s="74"/>
      <c r="E15" s="74"/>
      <c r="F15" s="74"/>
      <c r="G15" s="74"/>
      <c r="H15" s="74"/>
      <c r="I15" s="74"/>
      <c r="J15" s="74">
        <v>20</v>
      </c>
      <c r="K15" s="74">
        <v>3</v>
      </c>
      <c r="L15" s="86">
        <v>3</v>
      </c>
      <c r="M15" s="86">
        <v>3</v>
      </c>
      <c r="N15" s="86">
        <v>4</v>
      </c>
      <c r="O15" s="86">
        <v>3</v>
      </c>
      <c r="P15" s="60">
        <v>1</v>
      </c>
      <c r="Q15" s="86">
        <v>0</v>
      </c>
      <c r="R15" s="86">
        <v>6</v>
      </c>
      <c r="S15" s="86">
        <v>0</v>
      </c>
      <c r="AO15" s="3" t="s">
        <v>51</v>
      </c>
      <c r="AP15" s="213">
        <f t="shared" si="0"/>
        <v>0.14285714285714285</v>
      </c>
      <c r="AQ15" s="17">
        <f t="shared" si="1"/>
        <v>1.9090909090909092</v>
      </c>
      <c r="BD15" s="86"/>
      <c r="BK15" s="2"/>
    </row>
    <row r="16" spans="1:63" x14ac:dyDescent="0.45">
      <c r="A16" s="3" t="s">
        <v>5</v>
      </c>
      <c r="B16" s="74"/>
      <c r="C16" s="74"/>
      <c r="D16" s="74"/>
      <c r="E16" s="74"/>
      <c r="F16" s="74"/>
      <c r="G16" s="74"/>
      <c r="H16" s="74"/>
      <c r="I16" s="74"/>
      <c r="J16" s="74">
        <v>3</v>
      </c>
      <c r="K16" s="74"/>
      <c r="L16" s="86">
        <v>2</v>
      </c>
      <c r="M16" s="86">
        <v>2</v>
      </c>
      <c r="N16" s="86">
        <v>0</v>
      </c>
      <c r="O16" s="86">
        <v>2</v>
      </c>
      <c r="P16" s="20">
        <v>0</v>
      </c>
      <c r="Q16" s="86">
        <v>0</v>
      </c>
      <c r="R16" s="86">
        <v>1</v>
      </c>
      <c r="S16" s="86">
        <v>2</v>
      </c>
      <c r="AO16" s="3" t="s">
        <v>42</v>
      </c>
      <c r="AP16" s="17">
        <f t="shared" si="0"/>
        <v>1.1428571428571428</v>
      </c>
      <c r="AQ16" s="17">
        <f t="shared" si="1"/>
        <v>5.7272727272727275</v>
      </c>
      <c r="BD16" s="86"/>
      <c r="BK16" s="2"/>
    </row>
    <row r="17" spans="1:63" x14ac:dyDescent="0.45">
      <c r="A17" s="3" t="s">
        <v>7</v>
      </c>
      <c r="B17" s="74"/>
      <c r="C17" s="74"/>
      <c r="D17" s="74"/>
      <c r="E17" s="74">
        <v>1</v>
      </c>
      <c r="F17" s="74">
        <v>9</v>
      </c>
      <c r="G17" s="74">
        <v>1</v>
      </c>
      <c r="H17" s="74"/>
      <c r="I17" s="74">
        <v>2</v>
      </c>
      <c r="J17" s="74">
        <v>6</v>
      </c>
      <c r="K17" s="74">
        <v>14</v>
      </c>
      <c r="L17" s="86">
        <v>11</v>
      </c>
      <c r="M17" s="86">
        <v>59</v>
      </c>
      <c r="N17" s="86">
        <v>19</v>
      </c>
      <c r="O17" s="86">
        <v>7</v>
      </c>
      <c r="P17" s="60">
        <v>10</v>
      </c>
      <c r="Q17" s="86">
        <v>51</v>
      </c>
      <c r="R17" s="86">
        <v>20</v>
      </c>
      <c r="S17" s="86">
        <v>6</v>
      </c>
      <c r="AO17" s="3" t="s">
        <v>8</v>
      </c>
      <c r="AP17" s="17">
        <f t="shared" si="0"/>
        <v>1.4285714285714286</v>
      </c>
      <c r="AQ17" s="17">
        <f t="shared" si="1"/>
        <v>32.727272727272727</v>
      </c>
      <c r="BD17" s="86"/>
      <c r="BK17" s="2"/>
    </row>
    <row r="18" spans="1:63" x14ac:dyDescent="0.45">
      <c r="A18" s="3" t="s">
        <v>50</v>
      </c>
      <c r="B18" s="74"/>
      <c r="C18" s="74"/>
      <c r="D18" s="74"/>
      <c r="E18" s="74">
        <v>1</v>
      </c>
      <c r="F18" s="74">
        <v>2</v>
      </c>
      <c r="G18" s="74"/>
      <c r="H18" s="74"/>
      <c r="I18" s="74">
        <v>3</v>
      </c>
      <c r="J18" s="74"/>
      <c r="K18" s="74"/>
      <c r="L18" s="86">
        <v>4</v>
      </c>
      <c r="M18" s="86">
        <v>3</v>
      </c>
      <c r="N18" s="86">
        <v>0</v>
      </c>
      <c r="O18" s="86">
        <v>0</v>
      </c>
      <c r="P18" s="20">
        <v>1</v>
      </c>
      <c r="Q18" s="86">
        <v>1</v>
      </c>
      <c r="R18" s="86">
        <v>0</v>
      </c>
      <c r="S18" s="86">
        <v>0</v>
      </c>
      <c r="AO18" s="3" t="s">
        <v>9</v>
      </c>
      <c r="AP18" s="17">
        <f t="shared" si="0"/>
        <v>2390.2857142857142</v>
      </c>
      <c r="AQ18" s="17">
        <f t="shared" si="1"/>
        <v>653.5454545454545</v>
      </c>
      <c r="BD18" s="86"/>
      <c r="BK18" s="2"/>
    </row>
    <row r="19" spans="1:63" x14ac:dyDescent="0.45">
      <c r="A19" s="3" t="s">
        <v>51</v>
      </c>
      <c r="B19" s="74"/>
      <c r="C19" s="74"/>
      <c r="D19" s="74"/>
      <c r="E19" s="74"/>
      <c r="F19" s="74"/>
      <c r="G19" s="74"/>
      <c r="H19" s="74">
        <v>1</v>
      </c>
      <c r="I19" s="74">
        <v>18</v>
      </c>
      <c r="J19" s="74"/>
      <c r="K19" s="74">
        <v>2</v>
      </c>
      <c r="L19" s="86"/>
      <c r="M19" s="86"/>
      <c r="N19" s="86">
        <v>0</v>
      </c>
      <c r="O19" s="86">
        <v>0</v>
      </c>
      <c r="P19" s="20">
        <v>0</v>
      </c>
      <c r="Q19" s="86">
        <v>0</v>
      </c>
      <c r="R19" s="86">
        <v>0</v>
      </c>
      <c r="S19" s="86">
        <v>1</v>
      </c>
      <c r="AO19" s="3" t="s">
        <v>44</v>
      </c>
      <c r="AP19" s="17">
        <f t="shared" si="0"/>
        <v>2.8571428571428572</v>
      </c>
      <c r="AQ19" s="17">
        <f t="shared" si="1"/>
        <v>3.7272727272727271</v>
      </c>
      <c r="BD19" s="86"/>
      <c r="BK19" s="2"/>
    </row>
    <row r="20" spans="1:63" x14ac:dyDescent="0.45">
      <c r="A20" s="3" t="s">
        <v>42</v>
      </c>
      <c r="B20" s="74"/>
      <c r="C20" s="74">
        <v>4</v>
      </c>
      <c r="D20" s="74"/>
      <c r="E20" s="74">
        <v>1</v>
      </c>
      <c r="F20" s="74">
        <v>1</v>
      </c>
      <c r="G20" s="74"/>
      <c r="H20" s="74">
        <v>2</v>
      </c>
      <c r="I20" s="74">
        <v>3</v>
      </c>
      <c r="J20" s="74">
        <v>10</v>
      </c>
      <c r="K20" s="74">
        <v>1</v>
      </c>
      <c r="L20" s="86">
        <v>7</v>
      </c>
      <c r="M20" s="86"/>
      <c r="N20" s="86">
        <v>4</v>
      </c>
      <c r="O20" s="86">
        <v>4</v>
      </c>
      <c r="P20" s="60">
        <v>2</v>
      </c>
      <c r="Q20" s="86">
        <v>10</v>
      </c>
      <c r="R20" s="86">
        <v>19</v>
      </c>
      <c r="S20" s="86">
        <v>3</v>
      </c>
      <c r="AO20" s="3" t="s">
        <v>10</v>
      </c>
      <c r="AP20" s="17">
        <f t="shared" si="0"/>
        <v>874.42857142857144</v>
      </c>
      <c r="AQ20" s="17">
        <f t="shared" si="1"/>
        <v>71.272727272727266</v>
      </c>
      <c r="BD20" s="86"/>
      <c r="BK20" s="2"/>
    </row>
    <row r="21" spans="1:63" x14ac:dyDescent="0.45">
      <c r="A21" s="3" t="s">
        <v>8</v>
      </c>
      <c r="B21" s="74"/>
      <c r="C21" s="74"/>
      <c r="D21" s="74"/>
      <c r="E21" s="74">
        <v>5</v>
      </c>
      <c r="F21" s="74">
        <v>2</v>
      </c>
      <c r="G21" s="74">
        <v>1</v>
      </c>
      <c r="H21" s="74">
        <v>2</v>
      </c>
      <c r="I21" s="74">
        <v>3</v>
      </c>
      <c r="J21" s="74">
        <v>37</v>
      </c>
      <c r="K21" s="74">
        <v>20</v>
      </c>
      <c r="L21" s="86">
        <v>7</v>
      </c>
      <c r="M21" s="86">
        <v>61</v>
      </c>
      <c r="N21" s="86">
        <v>36</v>
      </c>
      <c r="O21" s="86">
        <v>38</v>
      </c>
      <c r="P21" s="20">
        <v>28</v>
      </c>
      <c r="Q21" s="86">
        <v>54</v>
      </c>
      <c r="R21" s="86">
        <v>53</v>
      </c>
      <c r="S21" s="86">
        <v>23</v>
      </c>
      <c r="AO21" s="3" t="s">
        <v>11</v>
      </c>
      <c r="AP21" s="17">
        <f t="shared" si="0"/>
        <v>13419.857142857143</v>
      </c>
      <c r="AQ21" s="17">
        <f t="shared" si="1"/>
        <v>5980.545454545455</v>
      </c>
      <c r="BD21" s="86"/>
      <c r="BK21" s="2"/>
    </row>
    <row r="22" spans="1:63" x14ac:dyDescent="0.45">
      <c r="A22" s="3" t="s">
        <v>9</v>
      </c>
      <c r="B22" s="74">
        <v>1000</v>
      </c>
      <c r="C22" s="74">
        <v>75</v>
      </c>
      <c r="D22" s="74">
        <v>3015</v>
      </c>
      <c r="E22" s="74">
        <v>602</v>
      </c>
      <c r="F22" s="74">
        <v>10010</v>
      </c>
      <c r="G22" s="74">
        <v>1200</v>
      </c>
      <c r="H22" s="74">
        <v>830</v>
      </c>
      <c r="I22" s="74">
        <v>69</v>
      </c>
      <c r="J22" s="74">
        <v>39</v>
      </c>
      <c r="K22" s="74">
        <v>238</v>
      </c>
      <c r="L22" s="86">
        <v>541</v>
      </c>
      <c r="M22" s="86">
        <v>280</v>
      </c>
      <c r="N22" s="86">
        <v>2386</v>
      </c>
      <c r="O22" s="86">
        <v>1814</v>
      </c>
      <c r="P22" s="20">
        <v>633</v>
      </c>
      <c r="Q22" s="86">
        <v>657</v>
      </c>
      <c r="R22" s="86">
        <v>399</v>
      </c>
      <c r="S22" s="86">
        <v>133</v>
      </c>
      <c r="AO22" s="3" t="s">
        <v>12</v>
      </c>
      <c r="AP22" s="17">
        <f t="shared" si="0"/>
        <v>13.571428571428571</v>
      </c>
      <c r="AQ22" s="17">
        <f t="shared" si="1"/>
        <v>128.27272727272728</v>
      </c>
      <c r="BD22" s="86"/>
      <c r="BK22" s="2"/>
    </row>
    <row r="23" spans="1:63" x14ac:dyDescent="0.45">
      <c r="A23" s="3" t="s">
        <v>44</v>
      </c>
      <c r="B23" s="74">
        <v>1</v>
      </c>
      <c r="C23" s="74"/>
      <c r="D23" s="74">
        <v>3</v>
      </c>
      <c r="E23" s="74"/>
      <c r="F23" s="74">
        <v>7</v>
      </c>
      <c r="G23" s="74">
        <v>1</v>
      </c>
      <c r="H23" s="74">
        <v>8</v>
      </c>
      <c r="I23" s="74"/>
      <c r="J23" s="74">
        <v>6</v>
      </c>
      <c r="K23" s="74"/>
      <c r="L23" s="86">
        <v>1</v>
      </c>
      <c r="M23" s="86">
        <v>8</v>
      </c>
      <c r="N23" s="86">
        <v>2</v>
      </c>
      <c r="O23" s="86">
        <v>4</v>
      </c>
      <c r="P23" s="20">
        <v>6</v>
      </c>
      <c r="Q23" s="86">
        <v>7</v>
      </c>
      <c r="R23" s="86">
        <v>2</v>
      </c>
      <c r="S23" s="86">
        <v>5</v>
      </c>
      <c r="AO23" s="3" t="s">
        <v>32</v>
      </c>
      <c r="AP23" s="17">
        <f t="shared" si="0"/>
        <v>0</v>
      </c>
      <c r="AQ23" s="17">
        <f t="shared" si="1"/>
        <v>9.454545454545455</v>
      </c>
      <c r="BD23" s="86"/>
      <c r="BK23" s="2"/>
    </row>
    <row r="24" spans="1:63" x14ac:dyDescent="0.45">
      <c r="A24" s="3" t="s">
        <v>10</v>
      </c>
      <c r="B24" s="74">
        <v>600</v>
      </c>
      <c r="C24" s="74">
        <v>451</v>
      </c>
      <c r="D24" s="74">
        <v>1812</v>
      </c>
      <c r="E24" s="74">
        <v>766</v>
      </c>
      <c r="F24" s="74">
        <v>1730</v>
      </c>
      <c r="G24" s="74">
        <v>500</v>
      </c>
      <c r="H24" s="74">
        <v>262</v>
      </c>
      <c r="I24" s="74">
        <v>46</v>
      </c>
      <c r="J24" s="74">
        <v>294</v>
      </c>
      <c r="K24" s="74">
        <v>89</v>
      </c>
      <c r="L24" s="86">
        <v>27</v>
      </c>
      <c r="M24" s="86">
        <v>8</v>
      </c>
      <c r="N24" s="86">
        <v>49</v>
      </c>
      <c r="O24" s="86">
        <v>28</v>
      </c>
      <c r="P24" s="60">
        <v>48</v>
      </c>
      <c r="Q24" s="86">
        <v>121</v>
      </c>
      <c r="R24" s="86">
        <v>55</v>
      </c>
      <c r="S24" s="86">
        <v>19</v>
      </c>
      <c r="AO24" s="3" t="s">
        <v>18</v>
      </c>
      <c r="AP24" s="17">
        <f t="shared" si="0"/>
        <v>0</v>
      </c>
      <c r="AQ24" s="17">
        <f t="shared" si="1"/>
        <v>1692.909090909091</v>
      </c>
      <c r="BD24" s="86"/>
      <c r="BK24" s="2"/>
    </row>
    <row r="25" spans="1:63" x14ac:dyDescent="0.45">
      <c r="A25" s="3" t="s">
        <v>11</v>
      </c>
      <c r="B25" s="74">
        <v>14000</v>
      </c>
      <c r="C25" s="74">
        <v>12025</v>
      </c>
      <c r="D25" s="74">
        <v>2010</v>
      </c>
      <c r="E25" s="74">
        <v>20510</v>
      </c>
      <c r="F25" s="74">
        <v>20725</v>
      </c>
      <c r="G25" s="74">
        <v>7200</v>
      </c>
      <c r="H25" s="74">
        <v>17469</v>
      </c>
      <c r="I25" s="74">
        <v>3071</v>
      </c>
      <c r="J25" s="74">
        <v>4935</v>
      </c>
      <c r="K25" s="74">
        <v>3908</v>
      </c>
      <c r="L25" s="86">
        <v>16040</v>
      </c>
      <c r="M25" s="86">
        <v>7732</v>
      </c>
      <c r="N25" s="86">
        <v>3834</v>
      </c>
      <c r="O25" s="86">
        <v>2169</v>
      </c>
      <c r="P25" s="20">
        <v>929</v>
      </c>
      <c r="Q25" s="86">
        <v>6925</v>
      </c>
      <c r="R25" s="86">
        <v>13506</v>
      </c>
      <c r="S25" s="86">
        <v>2737</v>
      </c>
      <c r="AO25" s="3" t="s">
        <v>46</v>
      </c>
      <c r="AP25" s="17">
        <f t="shared" si="0"/>
        <v>0</v>
      </c>
      <c r="AQ25" s="17">
        <f t="shared" si="1"/>
        <v>1.9090909090909092</v>
      </c>
      <c r="BD25" s="86"/>
      <c r="BK25" s="2"/>
    </row>
    <row r="26" spans="1:63" x14ac:dyDescent="0.45">
      <c r="A26" s="3" t="s">
        <v>12</v>
      </c>
      <c r="B26" s="74">
        <v>50</v>
      </c>
      <c r="C26" s="74"/>
      <c r="D26" s="74"/>
      <c r="E26" s="74">
        <v>2</v>
      </c>
      <c r="F26" s="74">
        <v>21</v>
      </c>
      <c r="G26" s="74">
        <v>2</v>
      </c>
      <c r="H26" s="74">
        <v>20</v>
      </c>
      <c r="I26" s="74">
        <v>121</v>
      </c>
      <c r="J26" s="74">
        <v>195</v>
      </c>
      <c r="K26" s="74">
        <v>168</v>
      </c>
      <c r="L26" s="86">
        <v>100</v>
      </c>
      <c r="M26" s="86">
        <v>74</v>
      </c>
      <c r="N26" s="86">
        <v>112</v>
      </c>
      <c r="O26" s="86">
        <v>103</v>
      </c>
      <c r="P26" s="60">
        <v>242</v>
      </c>
      <c r="Q26" s="86">
        <v>99</v>
      </c>
      <c r="R26" s="86">
        <v>147</v>
      </c>
      <c r="S26" s="86">
        <v>50</v>
      </c>
      <c r="AO26" s="3" t="s">
        <v>13</v>
      </c>
      <c r="AP26" s="17">
        <f t="shared" si="0"/>
        <v>0.5714285714285714</v>
      </c>
      <c r="AQ26" s="17">
        <f t="shared" si="1"/>
        <v>27.181818181818183</v>
      </c>
      <c r="BD26" s="86"/>
      <c r="BK26" s="2"/>
    </row>
    <row r="27" spans="1:63" x14ac:dyDescent="0.45">
      <c r="A27" s="3" t="s">
        <v>32</v>
      </c>
      <c r="B27" s="74"/>
      <c r="C27" s="74"/>
      <c r="D27" s="74"/>
      <c r="E27" s="74"/>
      <c r="F27" s="74"/>
      <c r="G27" s="74"/>
      <c r="H27" s="74"/>
      <c r="I27" s="74">
        <v>1</v>
      </c>
      <c r="J27" s="74">
        <v>4</v>
      </c>
      <c r="K27" s="74">
        <v>3</v>
      </c>
      <c r="L27" s="86">
        <v>33</v>
      </c>
      <c r="M27" s="86"/>
      <c r="N27" s="86">
        <v>12</v>
      </c>
      <c r="O27" s="86">
        <v>31</v>
      </c>
      <c r="P27" s="20">
        <v>1</v>
      </c>
      <c r="Q27" s="86">
        <v>9</v>
      </c>
      <c r="R27" s="86">
        <v>10</v>
      </c>
      <c r="S27" s="86">
        <v>0</v>
      </c>
      <c r="AO27" s="3" t="s">
        <v>14</v>
      </c>
      <c r="AP27" s="17">
        <f t="shared" si="0"/>
        <v>1102.4285714285713</v>
      </c>
      <c r="AQ27" s="17">
        <f t="shared" si="1"/>
        <v>966.90909090909088</v>
      </c>
      <c r="BD27" s="86"/>
      <c r="BK27" s="2"/>
    </row>
    <row r="28" spans="1:63" x14ac:dyDescent="0.45">
      <c r="A28" s="3" t="s">
        <v>18</v>
      </c>
      <c r="B28" s="74"/>
      <c r="C28" s="74"/>
      <c r="D28" s="74"/>
      <c r="E28" s="74"/>
      <c r="F28" s="74"/>
      <c r="G28" s="74"/>
      <c r="H28" s="74"/>
      <c r="I28" s="74">
        <v>103</v>
      </c>
      <c r="J28" s="74">
        <v>640</v>
      </c>
      <c r="K28" s="74">
        <v>2987</v>
      </c>
      <c r="L28" s="86">
        <v>617</v>
      </c>
      <c r="M28" s="86">
        <v>5272</v>
      </c>
      <c r="N28" s="86">
        <v>987</v>
      </c>
      <c r="O28" s="86">
        <v>285</v>
      </c>
      <c r="P28" s="20">
        <v>6175</v>
      </c>
      <c r="Q28" s="86">
        <v>360</v>
      </c>
      <c r="R28" s="86">
        <v>360</v>
      </c>
      <c r="S28" s="86">
        <v>836</v>
      </c>
      <c r="AO28" s="3" t="s">
        <v>40</v>
      </c>
      <c r="AP28" s="17">
        <f t="shared" si="0"/>
        <v>1.2857142857142858</v>
      </c>
      <c r="AQ28" s="17">
        <f t="shared" si="1"/>
        <v>1.2727272727272727</v>
      </c>
      <c r="BD28" s="86"/>
      <c r="BK28" s="2"/>
    </row>
    <row r="29" spans="1:63" x14ac:dyDescent="0.45">
      <c r="A29" s="3" t="s">
        <v>46</v>
      </c>
      <c r="B29" s="74"/>
      <c r="C29" s="74"/>
      <c r="D29" s="74"/>
      <c r="E29" s="74"/>
      <c r="F29" s="74"/>
      <c r="G29" s="74"/>
      <c r="H29" s="74"/>
      <c r="I29" s="74"/>
      <c r="J29" s="74">
        <v>1</v>
      </c>
      <c r="K29" s="74">
        <v>8</v>
      </c>
      <c r="L29" s="86">
        <v>8</v>
      </c>
      <c r="M29" s="86"/>
      <c r="N29" s="86">
        <v>2</v>
      </c>
      <c r="O29" s="86">
        <v>0</v>
      </c>
      <c r="P29" s="60">
        <v>0</v>
      </c>
      <c r="Q29" s="86">
        <v>0</v>
      </c>
      <c r="R29" s="86">
        <v>1</v>
      </c>
      <c r="S29" s="86">
        <v>1</v>
      </c>
      <c r="AO29" s="3" t="s">
        <v>52</v>
      </c>
      <c r="AP29" s="17">
        <f t="shared" si="0"/>
        <v>0</v>
      </c>
      <c r="AQ29" s="17">
        <f t="shared" si="1"/>
        <v>0.72727272727272729</v>
      </c>
      <c r="BD29" s="86"/>
      <c r="BK29" s="2"/>
    </row>
    <row r="30" spans="1:63" x14ac:dyDescent="0.45">
      <c r="A30" s="3" t="s">
        <v>13</v>
      </c>
      <c r="B30" s="74">
        <v>2</v>
      </c>
      <c r="C30" s="74"/>
      <c r="D30" s="74"/>
      <c r="E30" s="74">
        <v>1</v>
      </c>
      <c r="F30" s="74">
        <v>1</v>
      </c>
      <c r="G30" s="74"/>
      <c r="H30" s="74"/>
      <c r="I30" s="74"/>
      <c r="J30" s="74"/>
      <c r="K30" s="74"/>
      <c r="L30" s="86">
        <v>1</v>
      </c>
      <c r="M30" s="86">
        <v>139</v>
      </c>
      <c r="N30" s="86">
        <v>90</v>
      </c>
      <c r="O30" s="86">
        <v>4</v>
      </c>
      <c r="P30" s="60">
        <v>0</v>
      </c>
      <c r="Q30" s="86">
        <v>15</v>
      </c>
      <c r="R30" s="86">
        <v>10</v>
      </c>
      <c r="S30" s="86">
        <v>40</v>
      </c>
      <c r="AO30" s="3" t="s">
        <v>53</v>
      </c>
      <c r="AP30" s="213">
        <f t="shared" si="0"/>
        <v>0.42857142857142855</v>
      </c>
      <c r="AQ30" s="213">
        <f t="shared" si="1"/>
        <v>0.18181818181818182</v>
      </c>
      <c r="BD30" s="86"/>
      <c r="BK30" s="2"/>
    </row>
    <row r="31" spans="1:63" x14ac:dyDescent="0.45">
      <c r="A31" s="3" t="s">
        <v>14</v>
      </c>
      <c r="B31" s="74">
        <v>130</v>
      </c>
      <c r="C31" s="74">
        <v>1760</v>
      </c>
      <c r="D31" s="74">
        <v>133</v>
      </c>
      <c r="E31" s="74">
        <v>1219</v>
      </c>
      <c r="F31" s="74">
        <v>3271</v>
      </c>
      <c r="G31" s="74">
        <v>562</v>
      </c>
      <c r="H31" s="74">
        <v>642</v>
      </c>
      <c r="I31" s="74">
        <v>1091</v>
      </c>
      <c r="J31" s="74">
        <v>535</v>
      </c>
      <c r="K31" s="74">
        <v>938</v>
      </c>
      <c r="L31" s="86">
        <v>1157</v>
      </c>
      <c r="M31" s="86">
        <v>2431</v>
      </c>
      <c r="N31" s="86">
        <v>1480</v>
      </c>
      <c r="O31" s="86">
        <v>785</v>
      </c>
      <c r="P31" s="60">
        <v>507</v>
      </c>
      <c r="Q31" s="86">
        <v>494</v>
      </c>
      <c r="R31" s="86">
        <v>640</v>
      </c>
      <c r="S31" s="86">
        <v>578</v>
      </c>
      <c r="AO31" s="3" t="s">
        <v>15</v>
      </c>
      <c r="AP31" s="17">
        <f t="shared" si="0"/>
        <v>460</v>
      </c>
      <c r="AQ31" s="17">
        <f t="shared" si="1"/>
        <v>19.545454545454547</v>
      </c>
      <c r="BD31" s="86"/>
      <c r="BK31" s="2"/>
    </row>
    <row r="32" spans="1:63" x14ac:dyDescent="0.45">
      <c r="A32" s="3" t="s">
        <v>40</v>
      </c>
      <c r="B32" s="74"/>
      <c r="C32" s="74"/>
      <c r="D32" s="74"/>
      <c r="E32" s="74"/>
      <c r="F32" s="74">
        <v>7</v>
      </c>
      <c r="G32" s="74">
        <v>2</v>
      </c>
      <c r="H32" s="74"/>
      <c r="I32" s="74"/>
      <c r="J32" s="74"/>
      <c r="K32" s="74"/>
      <c r="L32" s="86">
        <v>1</v>
      </c>
      <c r="M32" s="86"/>
      <c r="N32" s="86">
        <v>6</v>
      </c>
      <c r="O32" s="86">
        <v>0</v>
      </c>
      <c r="P32" s="20">
        <v>1</v>
      </c>
      <c r="Q32" s="86">
        <v>0</v>
      </c>
      <c r="R32" s="86">
        <v>4</v>
      </c>
      <c r="S32" s="86">
        <v>2</v>
      </c>
      <c r="AO32" s="3" t="s">
        <v>54</v>
      </c>
      <c r="AP32" s="17">
        <f t="shared" si="0"/>
        <v>0</v>
      </c>
      <c r="AQ32" s="17">
        <f t="shared" si="1"/>
        <v>2.7272727272727271</v>
      </c>
      <c r="BD32" s="86"/>
      <c r="BK32" s="2"/>
    </row>
    <row r="33" spans="1:63" x14ac:dyDescent="0.45">
      <c r="A33" s="3" t="s">
        <v>52</v>
      </c>
      <c r="B33" s="74"/>
      <c r="C33" s="74"/>
      <c r="D33" s="74"/>
      <c r="E33" s="74"/>
      <c r="F33" s="74"/>
      <c r="G33" s="74"/>
      <c r="H33" s="74"/>
      <c r="I33" s="74">
        <v>1</v>
      </c>
      <c r="J33" s="74"/>
      <c r="K33" s="74"/>
      <c r="L33" s="86">
        <v>6</v>
      </c>
      <c r="M33" s="86"/>
      <c r="N33" s="86">
        <v>0</v>
      </c>
      <c r="O33" s="86">
        <v>0</v>
      </c>
      <c r="P33" s="60">
        <v>1</v>
      </c>
      <c r="Q33" s="86">
        <v>0</v>
      </c>
      <c r="R33" s="86">
        <v>0</v>
      </c>
      <c r="S33" s="86">
        <v>0</v>
      </c>
      <c r="AO33" s="3" t="s">
        <v>74</v>
      </c>
      <c r="AP33" s="17">
        <f t="shared" si="0"/>
        <v>0</v>
      </c>
      <c r="AQ33" s="17">
        <f t="shared" si="1"/>
        <v>89.181818181818187</v>
      </c>
      <c r="BD33" s="86"/>
      <c r="BK33" s="2"/>
    </row>
    <row r="34" spans="1:63" x14ac:dyDescent="0.45">
      <c r="A34" s="3" t="s">
        <v>53</v>
      </c>
      <c r="B34" s="74"/>
      <c r="C34" s="74"/>
      <c r="D34" s="74"/>
      <c r="E34" s="74"/>
      <c r="F34" s="74"/>
      <c r="G34" s="74">
        <v>1</v>
      </c>
      <c r="H34" s="74">
        <v>2</v>
      </c>
      <c r="I34" s="74"/>
      <c r="J34" s="74"/>
      <c r="K34" s="74"/>
      <c r="L34" s="86"/>
      <c r="M34" s="86"/>
      <c r="N34" s="86">
        <v>1</v>
      </c>
      <c r="O34" s="86">
        <v>1</v>
      </c>
      <c r="P34" s="60">
        <v>0</v>
      </c>
      <c r="Q34" s="86">
        <v>0</v>
      </c>
      <c r="R34" s="86">
        <v>0</v>
      </c>
      <c r="S34" s="86">
        <v>0</v>
      </c>
      <c r="AO34" s="3" t="s">
        <v>16</v>
      </c>
      <c r="AP34" s="17">
        <f t="shared" si="0"/>
        <v>0</v>
      </c>
      <c r="AQ34" s="213">
        <f t="shared" si="1"/>
        <v>9.0909090909090912E-2</v>
      </c>
      <c r="BD34" s="86"/>
      <c r="BK34" s="2"/>
    </row>
    <row r="35" spans="1:63" x14ac:dyDescent="0.45">
      <c r="A35" s="3" t="s">
        <v>15</v>
      </c>
      <c r="B35" s="74">
        <v>600</v>
      </c>
      <c r="C35" s="74">
        <v>525</v>
      </c>
      <c r="D35" s="74">
        <v>58</v>
      </c>
      <c r="E35" s="74">
        <v>183</v>
      </c>
      <c r="F35" s="74">
        <v>1354</v>
      </c>
      <c r="G35" s="74">
        <v>325</v>
      </c>
      <c r="H35" s="74">
        <v>175</v>
      </c>
      <c r="I35" s="74">
        <v>22</v>
      </c>
      <c r="J35" s="74"/>
      <c r="K35" s="74">
        <v>32</v>
      </c>
      <c r="L35" s="86">
        <v>63</v>
      </c>
      <c r="M35" s="86">
        <v>16</v>
      </c>
      <c r="N35" s="86">
        <v>3</v>
      </c>
      <c r="O35" s="86">
        <v>0</v>
      </c>
      <c r="P35" s="20">
        <v>17</v>
      </c>
      <c r="Q35" s="86">
        <v>38</v>
      </c>
      <c r="R35" s="86">
        <v>24</v>
      </c>
      <c r="S35" s="86">
        <v>0</v>
      </c>
      <c r="AO35" s="131" t="s">
        <v>17</v>
      </c>
      <c r="AP35" s="17">
        <f t="shared" si="0"/>
        <v>28.571428571428573</v>
      </c>
      <c r="AQ35" s="17">
        <f t="shared" si="1"/>
        <v>1.8181818181818181</v>
      </c>
      <c r="BD35" s="86"/>
      <c r="BK35" s="2"/>
    </row>
    <row r="36" spans="1:63" x14ac:dyDescent="0.45">
      <c r="A36" s="3" t="s">
        <v>54</v>
      </c>
      <c r="B36" s="74"/>
      <c r="C36" s="74"/>
      <c r="D36" s="74"/>
      <c r="E36" s="74"/>
      <c r="F36" s="74"/>
      <c r="G36" s="74"/>
      <c r="H36" s="74"/>
      <c r="I36" s="74"/>
      <c r="J36" s="74"/>
      <c r="K36" s="74"/>
      <c r="L36" s="86">
        <v>1</v>
      </c>
      <c r="M36" s="86">
        <v>19</v>
      </c>
      <c r="N36" s="86">
        <v>0</v>
      </c>
      <c r="O36" s="86">
        <v>0</v>
      </c>
      <c r="P36" s="20">
        <v>0</v>
      </c>
      <c r="Q36" s="86">
        <v>1</v>
      </c>
      <c r="R36" s="86">
        <v>7</v>
      </c>
      <c r="S36" s="86">
        <v>2</v>
      </c>
      <c r="BD36" s="86"/>
      <c r="BK36" s="2"/>
    </row>
    <row r="37" spans="1:63" x14ac:dyDescent="0.45">
      <c r="A37" s="3" t="s">
        <v>74</v>
      </c>
      <c r="B37" s="74"/>
      <c r="C37" s="74"/>
      <c r="D37" s="74"/>
      <c r="E37" s="74"/>
      <c r="F37" s="74"/>
      <c r="G37" s="74"/>
      <c r="H37" s="74"/>
      <c r="I37" s="74">
        <v>97</v>
      </c>
      <c r="J37" s="74">
        <v>71</v>
      </c>
      <c r="K37" s="74">
        <v>42</v>
      </c>
      <c r="L37" s="86">
        <v>75</v>
      </c>
      <c r="M37" s="86">
        <v>304</v>
      </c>
      <c r="N37" s="86">
        <v>43</v>
      </c>
      <c r="O37" s="86">
        <v>48</v>
      </c>
      <c r="P37" s="130">
        <v>17</v>
      </c>
      <c r="Q37" s="86">
        <v>11</v>
      </c>
      <c r="R37" s="86">
        <v>120</v>
      </c>
      <c r="S37" s="86">
        <v>153</v>
      </c>
      <c r="BD37" s="86"/>
      <c r="BK37" s="2"/>
    </row>
    <row r="38" spans="1:63" x14ac:dyDescent="0.45">
      <c r="A38" s="3" t="s">
        <v>16</v>
      </c>
      <c r="B38" s="74"/>
      <c r="C38" s="74"/>
      <c r="D38" s="74"/>
      <c r="E38" s="74"/>
      <c r="F38" s="74"/>
      <c r="G38" s="74"/>
      <c r="H38" s="74"/>
      <c r="I38" s="74"/>
      <c r="J38" s="74"/>
      <c r="K38" s="74"/>
      <c r="L38" s="86"/>
      <c r="M38" s="86"/>
      <c r="N38" s="86">
        <v>0</v>
      </c>
      <c r="O38" s="86">
        <v>0</v>
      </c>
      <c r="P38" s="86">
        <v>0</v>
      </c>
      <c r="Q38" s="86">
        <v>0</v>
      </c>
      <c r="R38" s="86">
        <v>0</v>
      </c>
      <c r="S38" s="130">
        <v>1</v>
      </c>
      <c r="AP38" s="1" t="s">
        <v>702</v>
      </c>
      <c r="AQ38" s="1"/>
      <c r="BD38" s="17"/>
      <c r="BK38" s="2"/>
    </row>
    <row r="39" spans="1:63" x14ac:dyDescent="0.45">
      <c r="A39" s="131" t="s">
        <v>17</v>
      </c>
      <c r="B39" s="23"/>
      <c r="C39" s="20"/>
      <c r="D39" s="20"/>
      <c r="E39" s="20">
        <v>100</v>
      </c>
      <c r="F39" s="20"/>
      <c r="G39" s="20"/>
      <c r="H39" s="20">
        <v>100</v>
      </c>
      <c r="I39" s="20"/>
      <c r="J39" s="20"/>
      <c r="K39" s="20">
        <v>1</v>
      </c>
      <c r="L39" s="130"/>
      <c r="M39" s="86"/>
      <c r="N39" s="86">
        <v>1</v>
      </c>
      <c r="O39" s="86">
        <v>1</v>
      </c>
      <c r="P39">
        <v>17</v>
      </c>
      <c r="Q39" s="86">
        <v>0</v>
      </c>
      <c r="R39" s="86">
        <v>0</v>
      </c>
      <c r="S39" s="130">
        <v>0</v>
      </c>
      <c r="AP39" s="27" t="s">
        <v>698</v>
      </c>
      <c r="AQ39" s="27" t="s">
        <v>699</v>
      </c>
      <c r="AR39" s="2"/>
      <c r="AS39" s="2"/>
      <c r="AT39" s="2"/>
      <c r="AU39" s="2"/>
      <c r="BK39" s="2"/>
    </row>
    <row r="40" spans="1:63" s="180" customFormat="1" x14ac:dyDescent="0.45">
      <c r="A40" s="180" t="s">
        <v>55</v>
      </c>
      <c r="B40" s="212"/>
      <c r="C40" s="20"/>
      <c r="D40" s="20"/>
      <c r="E40" s="20"/>
      <c r="F40" s="20"/>
      <c r="G40" s="20"/>
      <c r="H40" s="20"/>
      <c r="I40" s="20"/>
      <c r="J40" s="20"/>
      <c r="K40" s="20"/>
      <c r="L40" s="130"/>
      <c r="M40" s="86"/>
      <c r="N40" s="86">
        <v>0</v>
      </c>
      <c r="O40" s="86">
        <v>0</v>
      </c>
      <c r="P40" s="86">
        <v>0</v>
      </c>
      <c r="Q40" s="86">
        <v>0</v>
      </c>
      <c r="R40" s="86">
        <v>0</v>
      </c>
      <c r="S40" s="86">
        <v>12</v>
      </c>
      <c r="T40"/>
      <c r="U40"/>
      <c r="AO40" s="108" t="s">
        <v>19</v>
      </c>
      <c r="AP40" s="97" t="s">
        <v>700</v>
      </c>
      <c r="AQ40" s="97" t="s">
        <v>701</v>
      </c>
    </row>
    <row r="41" spans="1:63" s="2" customFormat="1" x14ac:dyDescent="0.45">
      <c r="A41" s="90" t="s">
        <v>151</v>
      </c>
      <c r="B41" s="132"/>
      <c r="C41" s="31"/>
      <c r="D41" s="31"/>
      <c r="E41" s="31"/>
      <c r="F41" s="31"/>
      <c r="G41" s="31"/>
      <c r="H41" s="31"/>
      <c r="I41" s="31"/>
      <c r="J41" s="31"/>
      <c r="K41" s="31"/>
      <c r="L41" s="99"/>
      <c r="M41" s="99">
        <v>5</v>
      </c>
      <c r="N41" s="99">
        <v>0</v>
      </c>
      <c r="O41" s="99">
        <v>0</v>
      </c>
      <c r="P41" s="86">
        <v>0</v>
      </c>
      <c r="Q41" s="86">
        <v>0</v>
      </c>
      <c r="R41" s="86"/>
      <c r="S41" s="86">
        <v>0</v>
      </c>
      <c r="T41"/>
      <c r="U41"/>
      <c r="AO41" s="90" t="s">
        <v>1</v>
      </c>
      <c r="AP41" s="86">
        <v>14.428571428571429</v>
      </c>
      <c r="AQ41" s="86">
        <v>178.90909090909091</v>
      </c>
    </row>
    <row r="42" spans="1:63" x14ac:dyDescent="0.45">
      <c r="A42" s="11" t="s">
        <v>24</v>
      </c>
      <c r="B42" s="74">
        <v>16664</v>
      </c>
      <c r="C42" s="74">
        <v>14849</v>
      </c>
      <c r="D42" s="74">
        <v>7123</v>
      </c>
      <c r="E42" s="74">
        <v>23478</v>
      </c>
      <c r="F42" s="74">
        <v>37437</v>
      </c>
      <c r="G42" s="74">
        <v>9872</v>
      </c>
      <c r="H42" s="74">
        <v>19628</v>
      </c>
      <c r="I42" s="74">
        <v>4994</v>
      </c>
      <c r="J42" s="74">
        <v>7314</v>
      </c>
      <c r="K42" s="74">
        <v>8858</v>
      </c>
      <c r="L42" s="86">
        <v>19309</v>
      </c>
      <c r="M42" s="86">
        <v>16815</v>
      </c>
      <c r="N42" s="86">
        <f>SUM(N9:N41)</f>
        <v>9402</v>
      </c>
      <c r="O42" s="86">
        <f>SUM(O9:O41)</f>
        <v>5776</v>
      </c>
      <c r="P42" s="164">
        <v>8932</v>
      </c>
      <c r="Q42" s="160">
        <f>SUM(Q9:Q41)</f>
        <v>9157</v>
      </c>
      <c r="R42" s="160">
        <v>15805</v>
      </c>
      <c r="S42" s="160">
        <v>4955</v>
      </c>
      <c r="AO42" s="90" t="s">
        <v>45</v>
      </c>
      <c r="AP42" s="86">
        <v>5.8571428571428568</v>
      </c>
      <c r="AQ42" s="86">
        <v>0.54545454545454541</v>
      </c>
      <c r="AW42" s="86"/>
      <c r="AX42" s="86"/>
      <c r="AY42" s="86"/>
      <c r="AZ42" s="86"/>
      <c r="BA42" s="86"/>
      <c r="BB42" s="86"/>
      <c r="BC42" s="86"/>
      <c r="BD42" s="86"/>
      <c r="BK42" s="2"/>
    </row>
    <row r="43" spans="1:63" x14ac:dyDescent="0.45">
      <c r="A43" s="85" t="s">
        <v>124</v>
      </c>
      <c r="B43" s="17">
        <f>SUM(B42:H42)/7</f>
        <v>18435.857142857141</v>
      </c>
      <c r="M43" s="17"/>
      <c r="AO43" s="90" t="s">
        <v>41</v>
      </c>
      <c r="AP43" s="86">
        <v>1</v>
      </c>
      <c r="AQ43" s="86">
        <v>27.90909090909091</v>
      </c>
      <c r="BK43" s="2"/>
    </row>
    <row r="44" spans="1:63" x14ac:dyDescent="0.45">
      <c r="A44" s="85" t="s">
        <v>125</v>
      </c>
      <c r="B44" s="17">
        <f>SUM(I42:P42)/8</f>
        <v>10175</v>
      </c>
      <c r="C44" s="89">
        <f>B44/B43</f>
        <v>0.55191358455184392</v>
      </c>
      <c r="AO44" s="90" t="s">
        <v>2</v>
      </c>
      <c r="AP44" s="86">
        <v>112.57142857142857</v>
      </c>
      <c r="AQ44" s="86">
        <v>175.36363636363637</v>
      </c>
    </row>
    <row r="45" spans="1:63" x14ac:dyDescent="0.45">
      <c r="T45" s="12" t="s">
        <v>188</v>
      </c>
      <c r="U45" s="73" t="s">
        <v>256</v>
      </c>
      <c r="AO45" s="90" t="s">
        <v>43</v>
      </c>
      <c r="AP45" s="86">
        <v>0</v>
      </c>
      <c r="AQ45" s="213">
        <v>9.0909090909090898E-2</v>
      </c>
    </row>
    <row r="46" spans="1:63" x14ac:dyDescent="0.45">
      <c r="A46" t="s">
        <v>75</v>
      </c>
      <c r="B46">
        <v>1986</v>
      </c>
      <c r="C46">
        <v>1989</v>
      </c>
      <c r="D46">
        <v>1990</v>
      </c>
      <c r="E46">
        <v>1991</v>
      </c>
      <c r="F46">
        <v>1992</v>
      </c>
      <c r="G46">
        <v>1993</v>
      </c>
      <c r="H46">
        <v>1994</v>
      </c>
      <c r="I46">
        <v>2009</v>
      </c>
      <c r="J46">
        <v>2010</v>
      </c>
      <c r="K46">
        <v>2011</v>
      </c>
      <c r="L46">
        <v>2012</v>
      </c>
      <c r="M46">
        <v>2013</v>
      </c>
      <c r="N46">
        <v>2014</v>
      </c>
      <c r="O46" s="163">
        <v>2015</v>
      </c>
      <c r="P46">
        <v>2016</v>
      </c>
      <c r="Q46">
        <v>2017</v>
      </c>
      <c r="R46">
        <v>2018</v>
      </c>
      <c r="S46">
        <v>2019</v>
      </c>
      <c r="U46" s="246">
        <f>T48/T47</f>
        <v>0.5489154745727729</v>
      </c>
      <c r="AO46" s="90" t="s">
        <v>3</v>
      </c>
      <c r="AP46" s="86">
        <v>3</v>
      </c>
      <c r="AQ46" s="86">
        <v>19</v>
      </c>
    </row>
    <row r="47" spans="1:63" x14ac:dyDescent="0.45">
      <c r="A47" s="2" t="s">
        <v>135</v>
      </c>
      <c r="B47" s="74">
        <v>16664</v>
      </c>
      <c r="C47" s="74">
        <v>14849</v>
      </c>
      <c r="D47" s="74">
        <v>7123</v>
      </c>
      <c r="E47" s="74">
        <v>23478</v>
      </c>
      <c r="F47" s="74">
        <v>37437</v>
      </c>
      <c r="G47" s="74">
        <v>9872</v>
      </c>
      <c r="H47" s="74">
        <v>19628</v>
      </c>
      <c r="T47" s="86">
        <f>SUM(B47:H47)/7</f>
        <v>18435.857142857141</v>
      </c>
      <c r="AO47" s="90" t="s">
        <v>4</v>
      </c>
      <c r="AP47" s="86">
        <v>0</v>
      </c>
      <c r="AQ47" s="86">
        <v>3.9090909090909092</v>
      </c>
    </row>
    <row r="48" spans="1:63" x14ac:dyDescent="0.45">
      <c r="A48" s="9" t="s">
        <v>136</v>
      </c>
      <c r="I48" s="74">
        <v>4994</v>
      </c>
      <c r="J48" s="74">
        <v>7314</v>
      </c>
      <c r="K48" s="74">
        <v>8858</v>
      </c>
      <c r="L48" s="86">
        <v>19309</v>
      </c>
      <c r="M48" s="86">
        <v>16815</v>
      </c>
      <c r="N48" s="86">
        <v>9402</v>
      </c>
      <c r="O48" s="86">
        <v>5776</v>
      </c>
      <c r="P48" s="86">
        <v>8932</v>
      </c>
      <c r="Q48" s="86">
        <v>9157</v>
      </c>
      <c r="R48" s="86">
        <v>15805</v>
      </c>
      <c r="S48" s="17">
        <v>4955</v>
      </c>
      <c r="T48" s="86">
        <f>SUM(I48:S48)/11</f>
        <v>10119.727272727272</v>
      </c>
      <c r="AO48" s="90" t="s">
        <v>5</v>
      </c>
      <c r="AP48" s="86">
        <v>0</v>
      </c>
      <c r="AQ48" s="86">
        <v>1.0909090909090908</v>
      </c>
    </row>
    <row r="49" spans="1:43" x14ac:dyDescent="0.45">
      <c r="AO49" s="90" t="s">
        <v>7</v>
      </c>
      <c r="AP49" s="86">
        <v>1.5714285714285714</v>
      </c>
      <c r="AQ49" s="86">
        <v>18.636363636363637</v>
      </c>
    </row>
    <row r="50" spans="1:43" x14ac:dyDescent="0.45">
      <c r="B50" s="1"/>
      <c r="C50" s="1"/>
      <c r="D50" s="1"/>
      <c r="E50" s="1"/>
      <c r="F50" s="1"/>
      <c r="G50" s="1"/>
      <c r="H50" s="1"/>
      <c r="I50" s="2"/>
      <c r="J50" s="2"/>
      <c r="K50" s="2"/>
      <c r="L50" s="2"/>
      <c r="AO50" s="90" t="s">
        <v>50</v>
      </c>
      <c r="AP50" s="213">
        <v>0.42857142857142855</v>
      </c>
      <c r="AQ50" s="86">
        <v>1.0909090909090908</v>
      </c>
    </row>
    <row r="51" spans="1:43" x14ac:dyDescent="0.45">
      <c r="A51" s="37" t="s">
        <v>216</v>
      </c>
      <c r="B51" s="2"/>
      <c r="C51" s="2"/>
      <c r="D51" s="2"/>
      <c r="E51" s="2"/>
      <c r="F51" s="2"/>
      <c r="G51" s="2"/>
      <c r="H51" s="2"/>
      <c r="I51" s="2"/>
      <c r="J51" s="2"/>
      <c r="K51" s="2"/>
      <c r="L51" s="2"/>
      <c r="AO51" s="90" t="s">
        <v>51</v>
      </c>
      <c r="AP51" s="213">
        <v>0.14285714285714285</v>
      </c>
      <c r="AQ51" s="86">
        <v>1.9090909090909092</v>
      </c>
    </row>
    <row r="52" spans="1:43" x14ac:dyDescent="0.45">
      <c r="A52" s="2"/>
      <c r="B52" s="2"/>
      <c r="C52" s="2"/>
      <c r="D52" s="2"/>
      <c r="E52" s="2"/>
      <c r="F52" s="2"/>
      <c r="G52" s="2"/>
      <c r="H52" s="2"/>
      <c r="I52" s="2"/>
      <c r="J52" s="2"/>
      <c r="K52" s="2"/>
      <c r="L52" s="2"/>
      <c r="M52" s="2"/>
      <c r="AO52" s="90" t="s">
        <v>42</v>
      </c>
      <c r="AP52" s="86">
        <v>1.1428571428571428</v>
      </c>
      <c r="AQ52" s="86">
        <v>5.7272727272727275</v>
      </c>
    </row>
    <row r="53" spans="1:43" x14ac:dyDescent="0.45">
      <c r="A53" s="2" t="s">
        <v>175</v>
      </c>
      <c r="B53" s="2"/>
      <c r="C53" s="2"/>
      <c r="D53" s="2"/>
      <c r="E53" s="2"/>
      <c r="F53" s="2"/>
      <c r="G53" s="2"/>
      <c r="H53" s="2"/>
      <c r="I53" s="2"/>
      <c r="J53" s="2"/>
      <c r="K53" s="2"/>
      <c r="L53" s="2"/>
      <c r="M53" s="2"/>
      <c r="N53" s="2"/>
      <c r="O53" s="2"/>
      <c r="P53" s="2"/>
      <c r="AO53" s="90" t="s">
        <v>8</v>
      </c>
      <c r="AP53" s="86">
        <v>1.4285714285714286</v>
      </c>
      <c r="AQ53" s="86">
        <v>32.727272727272727</v>
      </c>
    </row>
    <row r="54" spans="1:43" x14ac:dyDescent="0.45">
      <c r="A54" s="2" t="s">
        <v>177</v>
      </c>
      <c r="B54" s="2"/>
      <c r="C54" s="2"/>
      <c r="D54" s="2"/>
      <c r="E54" s="2"/>
      <c r="F54" s="2"/>
      <c r="G54" s="2"/>
      <c r="H54" s="2"/>
      <c r="I54" s="2"/>
      <c r="J54" s="2"/>
      <c r="K54" s="2"/>
      <c r="L54" s="2"/>
      <c r="M54" s="2"/>
      <c r="N54" s="2"/>
      <c r="O54" s="2"/>
      <c r="P54" s="2"/>
      <c r="AO54" s="90" t="s">
        <v>9</v>
      </c>
      <c r="AP54" s="86">
        <v>2390.2857142857142</v>
      </c>
      <c r="AQ54" s="86">
        <v>653.5454545454545</v>
      </c>
    </row>
    <row r="55" spans="1:43" x14ac:dyDescent="0.45">
      <c r="A55" s="180" t="s">
        <v>215</v>
      </c>
      <c r="B55" s="2"/>
      <c r="C55" s="2"/>
      <c r="D55" s="2"/>
      <c r="E55" s="2"/>
      <c r="F55" s="2"/>
      <c r="G55" s="2"/>
      <c r="H55" s="2"/>
      <c r="I55" s="2"/>
      <c r="J55" s="2"/>
      <c r="K55" s="2"/>
      <c r="L55" s="2"/>
      <c r="M55" s="2"/>
      <c r="N55" s="2"/>
      <c r="O55" s="2"/>
      <c r="P55" s="2"/>
      <c r="AO55" s="90" t="s">
        <v>44</v>
      </c>
      <c r="AP55" s="86">
        <v>2.8571428571428572</v>
      </c>
      <c r="AQ55" s="86">
        <v>3.7272727272727271</v>
      </c>
    </row>
    <row r="56" spans="1:43" x14ac:dyDescent="0.45">
      <c r="A56" s="2"/>
      <c r="B56" s="1"/>
      <c r="C56" s="1"/>
      <c r="D56" s="1"/>
      <c r="E56" s="1"/>
      <c r="F56" s="1"/>
      <c r="G56" s="1"/>
      <c r="H56" s="1"/>
      <c r="I56" s="27" t="s">
        <v>111</v>
      </c>
      <c r="J56" s="27" t="s">
        <v>72</v>
      </c>
      <c r="K56" s="27" t="s">
        <v>111</v>
      </c>
      <c r="L56" s="27" t="s">
        <v>72</v>
      </c>
      <c r="M56" s="27" t="s">
        <v>111</v>
      </c>
      <c r="N56" s="27" t="s">
        <v>72</v>
      </c>
      <c r="O56" s="27" t="s">
        <v>111</v>
      </c>
      <c r="P56" s="27" t="s">
        <v>72</v>
      </c>
      <c r="Q56" s="27" t="s">
        <v>111</v>
      </c>
      <c r="R56" s="27" t="s">
        <v>72</v>
      </c>
      <c r="S56" s="27" t="s">
        <v>111</v>
      </c>
      <c r="T56" s="27" t="s">
        <v>72</v>
      </c>
      <c r="U56" s="27" t="s">
        <v>111</v>
      </c>
      <c r="V56" s="27" t="s">
        <v>72</v>
      </c>
      <c r="W56" s="27" t="s">
        <v>111</v>
      </c>
      <c r="X56" s="27" t="s">
        <v>72</v>
      </c>
      <c r="Y56" s="27" t="s">
        <v>111</v>
      </c>
      <c r="Z56" s="27" t="s">
        <v>72</v>
      </c>
      <c r="AA56" s="27" t="s">
        <v>111</v>
      </c>
      <c r="AB56" s="27" t="s">
        <v>72</v>
      </c>
      <c r="AC56" s="27" t="s">
        <v>111</v>
      </c>
      <c r="AD56" s="27" t="s">
        <v>72</v>
      </c>
      <c r="AO56" s="90" t="s">
        <v>10</v>
      </c>
      <c r="AP56" s="86">
        <v>874.42857142857144</v>
      </c>
      <c r="AQ56" s="86">
        <v>71.272727272727266</v>
      </c>
    </row>
    <row r="57" spans="1:43" x14ac:dyDescent="0.45">
      <c r="A57" s="2"/>
      <c r="B57" s="1"/>
      <c r="C57" s="1"/>
      <c r="D57" s="1"/>
      <c r="E57" s="1"/>
      <c r="F57" s="1"/>
      <c r="G57" s="1"/>
      <c r="H57" s="1"/>
      <c r="I57" s="27" t="s">
        <v>112</v>
      </c>
      <c r="J57" s="27" t="s">
        <v>73</v>
      </c>
      <c r="K57" s="27" t="s">
        <v>112</v>
      </c>
      <c r="L57" s="27" t="s">
        <v>73</v>
      </c>
      <c r="M57" s="27" t="s">
        <v>112</v>
      </c>
      <c r="N57" s="27" t="s">
        <v>73</v>
      </c>
      <c r="O57" s="27" t="s">
        <v>112</v>
      </c>
      <c r="P57" s="27" t="s">
        <v>73</v>
      </c>
      <c r="Q57" s="27" t="s">
        <v>112</v>
      </c>
      <c r="R57" s="27" t="s">
        <v>73</v>
      </c>
      <c r="S57" s="27" t="s">
        <v>112</v>
      </c>
      <c r="T57" s="27" t="s">
        <v>73</v>
      </c>
      <c r="U57" s="27" t="s">
        <v>112</v>
      </c>
      <c r="V57" s="27" t="s">
        <v>73</v>
      </c>
      <c r="W57" s="27" t="s">
        <v>112</v>
      </c>
      <c r="X57" s="27" t="s">
        <v>73</v>
      </c>
      <c r="Y57" s="27" t="s">
        <v>112</v>
      </c>
      <c r="Z57" s="27" t="s">
        <v>73</v>
      </c>
      <c r="AA57" s="27" t="s">
        <v>112</v>
      </c>
      <c r="AB57" s="27" t="s">
        <v>73</v>
      </c>
      <c r="AC57" s="27" t="s">
        <v>112</v>
      </c>
      <c r="AD57" s="27" t="s">
        <v>117</v>
      </c>
      <c r="AO57" s="90" t="s">
        <v>11</v>
      </c>
      <c r="AP57" s="86">
        <v>13419.857142857143</v>
      </c>
      <c r="AQ57" s="86">
        <v>5980.545454545455</v>
      </c>
    </row>
    <row r="58" spans="1:43" x14ac:dyDescent="0.45">
      <c r="A58" s="6" t="s">
        <v>19</v>
      </c>
      <c r="B58" s="117">
        <v>1986</v>
      </c>
      <c r="C58" s="117">
        <v>1989</v>
      </c>
      <c r="D58" s="117">
        <v>1990</v>
      </c>
      <c r="E58" s="117">
        <v>1991</v>
      </c>
      <c r="F58" s="117">
        <v>1992</v>
      </c>
      <c r="G58" s="117">
        <v>1993</v>
      </c>
      <c r="H58" s="117">
        <v>1994</v>
      </c>
      <c r="I58" s="117">
        <v>2009</v>
      </c>
      <c r="J58" s="117">
        <v>2009</v>
      </c>
      <c r="K58" s="117">
        <v>2010</v>
      </c>
      <c r="L58" s="117">
        <v>2010</v>
      </c>
      <c r="M58" s="117">
        <v>2011</v>
      </c>
      <c r="N58" s="8">
        <v>2011</v>
      </c>
      <c r="O58" s="8">
        <v>2012</v>
      </c>
      <c r="P58" s="8">
        <v>2012</v>
      </c>
      <c r="Q58" s="8">
        <v>2013</v>
      </c>
      <c r="R58" s="8">
        <v>2013</v>
      </c>
      <c r="S58" s="8">
        <v>2014</v>
      </c>
      <c r="T58" s="8">
        <v>2014</v>
      </c>
      <c r="U58" s="8">
        <v>2015</v>
      </c>
      <c r="V58" s="8">
        <v>2015</v>
      </c>
      <c r="W58" s="8">
        <v>2016</v>
      </c>
      <c r="X58" s="8">
        <v>2016</v>
      </c>
      <c r="Y58" s="8">
        <v>2017</v>
      </c>
      <c r="Z58" s="8">
        <v>2017</v>
      </c>
      <c r="AA58" s="8">
        <v>2018</v>
      </c>
      <c r="AB58" s="8">
        <v>2018</v>
      </c>
      <c r="AC58" s="8">
        <v>2019</v>
      </c>
      <c r="AD58" s="8">
        <v>2019</v>
      </c>
      <c r="AO58" s="90" t="s">
        <v>12</v>
      </c>
      <c r="AP58" s="86">
        <v>13.571428571428571</v>
      </c>
      <c r="AQ58" s="86">
        <v>128.27272727272728</v>
      </c>
    </row>
    <row r="59" spans="1:43" x14ac:dyDescent="0.45">
      <c r="A59" s="3" t="s">
        <v>1</v>
      </c>
      <c r="B59" s="74">
        <v>6</v>
      </c>
      <c r="C59" s="74">
        <v>8</v>
      </c>
      <c r="D59" s="74">
        <v>1</v>
      </c>
      <c r="E59" s="74">
        <v>9</v>
      </c>
      <c r="F59" s="74">
        <v>27</v>
      </c>
      <c r="G59" s="74">
        <v>22</v>
      </c>
      <c r="H59" s="74">
        <v>28</v>
      </c>
      <c r="I59" s="74">
        <v>164</v>
      </c>
      <c r="J59" s="74">
        <v>159</v>
      </c>
      <c r="K59" s="74">
        <v>190</v>
      </c>
      <c r="L59" s="74">
        <v>158</v>
      </c>
      <c r="M59" s="74">
        <v>147</v>
      </c>
      <c r="N59" s="74">
        <v>142</v>
      </c>
      <c r="O59" s="86">
        <v>121</v>
      </c>
      <c r="P59" s="86">
        <v>118</v>
      </c>
      <c r="Q59" s="86">
        <v>92</v>
      </c>
      <c r="R59" s="86">
        <v>86</v>
      </c>
      <c r="S59" s="86">
        <v>208</v>
      </c>
      <c r="T59" s="86">
        <v>203</v>
      </c>
      <c r="U59" s="86">
        <v>239</v>
      </c>
      <c r="V59" s="86">
        <v>231</v>
      </c>
      <c r="W59" s="86">
        <v>214</v>
      </c>
      <c r="X59" s="17">
        <v>198</v>
      </c>
      <c r="Y59" s="86">
        <v>243</v>
      </c>
      <c r="Z59" s="86">
        <v>230</v>
      </c>
      <c r="AA59" s="86">
        <v>272</v>
      </c>
      <c r="AB59" s="86">
        <v>257</v>
      </c>
      <c r="AC59" s="86">
        <v>204</v>
      </c>
      <c r="AD59" s="86">
        <v>186</v>
      </c>
      <c r="AO59" s="90" t="s">
        <v>32</v>
      </c>
      <c r="AP59" s="86">
        <v>0</v>
      </c>
      <c r="AQ59" s="86">
        <v>9.454545454545455</v>
      </c>
    </row>
    <row r="60" spans="1:43" x14ac:dyDescent="0.45">
      <c r="A60" s="3" t="s">
        <v>45</v>
      </c>
      <c r="B60" s="74"/>
      <c r="C60" s="74"/>
      <c r="D60" s="74">
        <v>5</v>
      </c>
      <c r="E60" s="74">
        <v>26</v>
      </c>
      <c r="F60" s="74">
        <v>9</v>
      </c>
      <c r="G60" s="74"/>
      <c r="H60" s="74">
        <v>1</v>
      </c>
      <c r="I60" s="74">
        <v>3</v>
      </c>
      <c r="J60" s="74">
        <v>3</v>
      </c>
      <c r="K60" s="74"/>
      <c r="L60" s="74"/>
      <c r="M60" s="74">
        <v>1</v>
      </c>
      <c r="N60" s="74"/>
      <c r="O60" s="86">
        <v>1</v>
      </c>
      <c r="P60" s="86">
        <v>1</v>
      </c>
      <c r="Q60" s="86">
        <v>10</v>
      </c>
      <c r="R60" s="86">
        <v>2</v>
      </c>
      <c r="S60" s="86">
        <v>0</v>
      </c>
      <c r="T60" s="86">
        <v>0</v>
      </c>
      <c r="U60" s="86">
        <v>0</v>
      </c>
      <c r="V60" s="86">
        <v>0</v>
      </c>
      <c r="W60" s="86">
        <v>0</v>
      </c>
      <c r="X60" s="17">
        <v>0</v>
      </c>
      <c r="Y60" s="86">
        <v>0</v>
      </c>
      <c r="Z60" s="86">
        <v>0</v>
      </c>
      <c r="AA60" s="86">
        <v>0</v>
      </c>
      <c r="AB60" s="86">
        <v>0</v>
      </c>
      <c r="AC60" s="86">
        <v>2</v>
      </c>
      <c r="AD60" s="86">
        <v>0</v>
      </c>
      <c r="AO60" s="90" t="s">
        <v>18</v>
      </c>
      <c r="AP60" s="86">
        <v>0</v>
      </c>
      <c r="AQ60" s="86">
        <v>1692.909090909091</v>
      </c>
    </row>
    <row r="61" spans="1:43" x14ac:dyDescent="0.45">
      <c r="A61" s="3" t="s">
        <v>41</v>
      </c>
      <c r="B61" s="74"/>
      <c r="C61" s="74"/>
      <c r="D61" s="74"/>
      <c r="E61" s="74"/>
      <c r="F61" s="74"/>
      <c r="G61" s="74"/>
      <c r="H61" s="74">
        <v>7</v>
      </c>
      <c r="I61" s="74">
        <v>4</v>
      </c>
      <c r="J61" s="74">
        <v>4</v>
      </c>
      <c r="K61" s="74">
        <v>39</v>
      </c>
      <c r="L61" s="74">
        <v>39</v>
      </c>
      <c r="M61" s="74">
        <v>5</v>
      </c>
      <c r="N61" s="74">
        <v>2</v>
      </c>
      <c r="O61" s="86">
        <v>92</v>
      </c>
      <c r="P61" s="86">
        <v>90</v>
      </c>
      <c r="Q61" s="86">
        <v>93</v>
      </c>
      <c r="R61" s="86">
        <v>89</v>
      </c>
      <c r="S61" s="86">
        <v>17</v>
      </c>
      <c r="T61" s="86">
        <v>15</v>
      </c>
      <c r="U61" s="86">
        <v>4</v>
      </c>
      <c r="V61" s="86">
        <v>4</v>
      </c>
      <c r="W61" s="86">
        <v>23</v>
      </c>
      <c r="X61" s="17">
        <v>23</v>
      </c>
      <c r="Y61" s="86">
        <v>12</v>
      </c>
      <c r="Z61" s="86">
        <v>12</v>
      </c>
      <c r="AA61" s="86">
        <v>16</v>
      </c>
      <c r="AB61" s="86">
        <v>16</v>
      </c>
      <c r="AC61" s="86">
        <v>13</v>
      </c>
      <c r="AD61" s="86">
        <v>13</v>
      </c>
      <c r="AO61" s="90" t="s">
        <v>46</v>
      </c>
      <c r="AP61" s="86">
        <v>0</v>
      </c>
      <c r="AQ61" s="86">
        <v>1.9090909090909092</v>
      </c>
    </row>
    <row r="62" spans="1:43" x14ac:dyDescent="0.45">
      <c r="A62" s="3" t="s">
        <v>2</v>
      </c>
      <c r="B62" s="74">
        <v>275</v>
      </c>
      <c r="C62" s="74">
        <v>1</v>
      </c>
      <c r="D62" s="74">
        <v>86</v>
      </c>
      <c r="E62" s="74">
        <v>52</v>
      </c>
      <c r="F62" s="74">
        <v>244</v>
      </c>
      <c r="G62" s="74">
        <v>51</v>
      </c>
      <c r="H62" s="74">
        <v>79</v>
      </c>
      <c r="I62" s="74">
        <v>177</v>
      </c>
      <c r="J62" s="74">
        <v>170</v>
      </c>
      <c r="K62" s="74">
        <v>309</v>
      </c>
      <c r="L62" s="74">
        <v>307</v>
      </c>
      <c r="M62" s="74">
        <v>242</v>
      </c>
      <c r="N62" s="74">
        <v>241</v>
      </c>
      <c r="O62" s="86">
        <v>353</v>
      </c>
      <c r="P62" s="86">
        <v>351</v>
      </c>
      <c r="Q62" s="86">
        <v>205</v>
      </c>
      <c r="R62" s="86">
        <v>204</v>
      </c>
      <c r="S62" s="86">
        <v>110</v>
      </c>
      <c r="T62" s="86">
        <v>107</v>
      </c>
      <c r="U62" s="86">
        <v>210</v>
      </c>
      <c r="V62" s="86">
        <v>201</v>
      </c>
      <c r="W62" s="86">
        <v>82</v>
      </c>
      <c r="X62" s="17">
        <v>65</v>
      </c>
      <c r="Y62" s="86">
        <v>51</v>
      </c>
      <c r="Z62" s="86">
        <v>48</v>
      </c>
      <c r="AA62" s="86">
        <v>132</v>
      </c>
      <c r="AB62" s="86">
        <v>129</v>
      </c>
      <c r="AC62" s="86">
        <v>106</v>
      </c>
      <c r="AD62" s="86">
        <v>106</v>
      </c>
      <c r="AO62" s="90" t="s">
        <v>13</v>
      </c>
      <c r="AP62" s="86">
        <v>0.5714285714285714</v>
      </c>
      <c r="AQ62" s="86">
        <v>27.181818181818183</v>
      </c>
    </row>
    <row r="63" spans="1:43" x14ac:dyDescent="0.45">
      <c r="A63" s="3" t="s">
        <v>43</v>
      </c>
      <c r="B63" s="74"/>
      <c r="C63" s="74"/>
      <c r="D63" s="74"/>
      <c r="E63" s="74"/>
      <c r="F63" s="74"/>
      <c r="G63" s="74"/>
      <c r="H63" s="74"/>
      <c r="I63" s="74">
        <v>11</v>
      </c>
      <c r="J63" s="74"/>
      <c r="K63" s="74">
        <v>7</v>
      </c>
      <c r="L63" s="74">
        <v>1</v>
      </c>
      <c r="M63" s="74">
        <v>7</v>
      </c>
      <c r="N63" s="74"/>
      <c r="O63" s="86">
        <v>8</v>
      </c>
      <c r="P63" s="86"/>
      <c r="Q63" s="86">
        <v>2</v>
      </c>
      <c r="R63" s="86"/>
      <c r="S63" s="86">
        <v>5</v>
      </c>
      <c r="T63" s="86">
        <v>0</v>
      </c>
      <c r="U63" s="86">
        <v>10</v>
      </c>
      <c r="V63" s="86">
        <v>0</v>
      </c>
      <c r="W63" s="86">
        <v>13</v>
      </c>
      <c r="X63" s="17">
        <v>0</v>
      </c>
      <c r="Y63" s="86">
        <v>0</v>
      </c>
      <c r="Z63" s="86">
        <v>0</v>
      </c>
      <c r="AA63" s="86">
        <v>4</v>
      </c>
      <c r="AB63" s="86">
        <v>0</v>
      </c>
      <c r="AC63" s="86">
        <v>22</v>
      </c>
      <c r="AD63" s="86">
        <v>0</v>
      </c>
      <c r="AO63" s="90" t="s">
        <v>14</v>
      </c>
      <c r="AP63" s="86">
        <v>1102.4285714285713</v>
      </c>
      <c r="AQ63" s="86">
        <v>966.90909090909088</v>
      </c>
    </row>
    <row r="64" spans="1:43" x14ac:dyDescent="0.45">
      <c r="A64" s="3" t="s">
        <v>3</v>
      </c>
      <c r="B64" s="74"/>
      <c r="C64" s="74"/>
      <c r="D64" s="74"/>
      <c r="E64" s="74"/>
      <c r="F64" s="74">
        <v>17</v>
      </c>
      <c r="G64" s="74">
        <v>4</v>
      </c>
      <c r="H64" s="74"/>
      <c r="I64" s="74">
        <v>20</v>
      </c>
      <c r="J64" s="74">
        <v>7</v>
      </c>
      <c r="K64" s="74">
        <v>30</v>
      </c>
      <c r="L64" s="74">
        <v>13</v>
      </c>
      <c r="M64" s="74">
        <v>50</v>
      </c>
      <c r="N64" s="74">
        <v>19</v>
      </c>
      <c r="O64" s="86">
        <v>60</v>
      </c>
      <c r="P64" s="86">
        <v>44</v>
      </c>
      <c r="Q64" s="86">
        <v>54</v>
      </c>
      <c r="R64" s="86">
        <v>18</v>
      </c>
      <c r="S64" s="86">
        <v>19</v>
      </c>
      <c r="T64" s="86">
        <v>6</v>
      </c>
      <c r="U64" s="86">
        <v>30</v>
      </c>
      <c r="V64" s="86">
        <v>13</v>
      </c>
      <c r="W64" s="86">
        <v>37</v>
      </c>
      <c r="X64" s="17">
        <v>10</v>
      </c>
      <c r="Y64" s="86">
        <v>22</v>
      </c>
      <c r="Z64" s="86">
        <v>14</v>
      </c>
      <c r="AA64" s="86">
        <v>48</v>
      </c>
      <c r="AB64" s="86">
        <v>19</v>
      </c>
      <c r="AC64" s="86">
        <v>88</v>
      </c>
      <c r="AD64" s="86">
        <v>46</v>
      </c>
      <c r="AO64" s="90" t="s">
        <v>40</v>
      </c>
      <c r="AP64" s="86">
        <v>1.2857142857142858</v>
      </c>
      <c r="AQ64" s="86">
        <v>1.2727272727272727</v>
      </c>
    </row>
    <row r="65" spans="1:43" x14ac:dyDescent="0.45">
      <c r="A65" s="3" t="s">
        <v>4</v>
      </c>
      <c r="B65" s="75"/>
      <c r="C65" s="74"/>
      <c r="D65" s="74"/>
      <c r="E65" s="74"/>
      <c r="F65" s="74"/>
      <c r="G65" s="74"/>
      <c r="H65" s="74"/>
      <c r="I65" s="74"/>
      <c r="J65" s="74"/>
      <c r="K65" s="74">
        <v>21</v>
      </c>
      <c r="L65" s="74">
        <v>20</v>
      </c>
      <c r="M65" s="74">
        <v>3</v>
      </c>
      <c r="N65" s="74">
        <v>3</v>
      </c>
      <c r="O65" s="86">
        <v>3</v>
      </c>
      <c r="P65" s="86">
        <v>3</v>
      </c>
      <c r="Q65" s="86">
        <v>9</v>
      </c>
      <c r="R65" s="86">
        <v>3</v>
      </c>
      <c r="S65" s="86">
        <v>4</v>
      </c>
      <c r="T65" s="86">
        <v>4</v>
      </c>
      <c r="U65" s="86">
        <v>10</v>
      </c>
      <c r="V65" s="86">
        <v>3</v>
      </c>
      <c r="W65" s="86">
        <v>1</v>
      </c>
      <c r="X65" s="17">
        <v>1</v>
      </c>
      <c r="Y65" s="86">
        <v>0</v>
      </c>
      <c r="Z65" s="86">
        <v>0</v>
      </c>
      <c r="AA65" s="86">
        <v>13</v>
      </c>
      <c r="AB65" s="86">
        <v>6</v>
      </c>
      <c r="AC65" s="86">
        <v>0</v>
      </c>
      <c r="AD65" s="86">
        <v>0</v>
      </c>
      <c r="AO65" s="90" t="s">
        <v>52</v>
      </c>
      <c r="AP65" s="86">
        <v>0</v>
      </c>
      <c r="AQ65" s="86">
        <v>0.72727272727272729</v>
      </c>
    </row>
    <row r="66" spans="1:43" x14ac:dyDescent="0.45">
      <c r="A66" s="3" t="s">
        <v>5</v>
      </c>
      <c r="B66" s="75"/>
      <c r="C66" s="74"/>
      <c r="D66" s="74"/>
      <c r="E66" s="74"/>
      <c r="F66" s="74"/>
      <c r="G66" s="74"/>
      <c r="H66" s="74"/>
      <c r="I66" s="74"/>
      <c r="J66" s="74"/>
      <c r="K66" s="74">
        <v>8</v>
      </c>
      <c r="L66" s="74">
        <v>3</v>
      </c>
      <c r="M66" s="74"/>
      <c r="N66" s="74"/>
      <c r="O66" s="86">
        <v>2</v>
      </c>
      <c r="P66" s="86">
        <v>2</v>
      </c>
      <c r="Q66" s="86">
        <v>2</v>
      </c>
      <c r="R66" s="86">
        <v>2</v>
      </c>
      <c r="S66" s="86">
        <v>0</v>
      </c>
      <c r="T66" s="86">
        <v>0</v>
      </c>
      <c r="U66" s="86">
        <v>5</v>
      </c>
      <c r="V66" s="86">
        <v>2</v>
      </c>
      <c r="W66" s="86">
        <v>0</v>
      </c>
      <c r="X66" s="17">
        <v>0</v>
      </c>
      <c r="Y66" s="86">
        <v>0</v>
      </c>
      <c r="Z66" s="86">
        <v>0</v>
      </c>
      <c r="AA66" s="86">
        <v>1</v>
      </c>
      <c r="AB66" s="86">
        <v>1</v>
      </c>
      <c r="AC66" s="86">
        <v>2</v>
      </c>
      <c r="AD66" s="86">
        <v>2</v>
      </c>
      <c r="AO66" s="90" t="s">
        <v>53</v>
      </c>
      <c r="AP66" s="213">
        <v>0.42857142857142855</v>
      </c>
      <c r="AQ66" s="213">
        <v>0.18181818181818182</v>
      </c>
    </row>
    <row r="67" spans="1:43" x14ac:dyDescent="0.45">
      <c r="A67" s="3" t="s">
        <v>7</v>
      </c>
      <c r="B67" s="74"/>
      <c r="C67" s="74"/>
      <c r="D67" s="74"/>
      <c r="E67" s="74">
        <v>1</v>
      </c>
      <c r="F67" s="74">
        <v>9</v>
      </c>
      <c r="G67" s="74">
        <v>1</v>
      </c>
      <c r="H67" s="74"/>
      <c r="I67" s="74">
        <v>10</v>
      </c>
      <c r="J67" s="74">
        <v>2</v>
      </c>
      <c r="K67" s="74">
        <v>9</v>
      </c>
      <c r="L67" s="74">
        <v>6</v>
      </c>
      <c r="M67" s="74">
        <v>16</v>
      </c>
      <c r="N67" s="74">
        <v>14</v>
      </c>
      <c r="O67" s="86">
        <v>19</v>
      </c>
      <c r="P67" s="86">
        <v>11</v>
      </c>
      <c r="Q67" s="86">
        <v>65</v>
      </c>
      <c r="R67" s="86">
        <v>59</v>
      </c>
      <c r="S67" s="86">
        <v>26</v>
      </c>
      <c r="T67" s="86">
        <v>19</v>
      </c>
      <c r="U67" s="86">
        <v>28</v>
      </c>
      <c r="V67" s="86">
        <v>7</v>
      </c>
      <c r="W67" s="86">
        <v>41</v>
      </c>
      <c r="X67" s="17">
        <v>10</v>
      </c>
      <c r="Y67" s="86">
        <v>51</v>
      </c>
      <c r="Z67" s="86">
        <v>51</v>
      </c>
      <c r="AA67" s="86">
        <v>22</v>
      </c>
      <c r="AB67" s="86">
        <v>20</v>
      </c>
      <c r="AC67" s="86">
        <v>27</v>
      </c>
      <c r="AD67" s="86">
        <v>6</v>
      </c>
      <c r="AO67" s="90" t="s">
        <v>15</v>
      </c>
      <c r="AP67" s="86">
        <v>460</v>
      </c>
      <c r="AQ67" s="86">
        <v>19.545454545454547</v>
      </c>
    </row>
    <row r="68" spans="1:43" x14ac:dyDescent="0.45">
      <c r="A68" s="3" t="s">
        <v>50</v>
      </c>
      <c r="B68" s="74"/>
      <c r="C68" s="74"/>
      <c r="D68" s="74"/>
      <c r="E68" s="74">
        <v>1</v>
      </c>
      <c r="F68" s="74">
        <v>2</v>
      </c>
      <c r="G68" s="74"/>
      <c r="H68" s="74"/>
      <c r="I68" s="74">
        <v>3</v>
      </c>
      <c r="J68" s="74">
        <v>3</v>
      </c>
      <c r="K68" s="74"/>
      <c r="L68" s="74"/>
      <c r="M68" s="74"/>
      <c r="N68" s="74"/>
      <c r="O68" s="86">
        <v>4</v>
      </c>
      <c r="P68" s="86">
        <v>4</v>
      </c>
      <c r="Q68" s="86">
        <v>6</v>
      </c>
      <c r="R68" s="86">
        <v>3</v>
      </c>
      <c r="S68" s="86">
        <v>0</v>
      </c>
      <c r="T68" s="86">
        <v>0</v>
      </c>
      <c r="U68" s="86">
        <v>0</v>
      </c>
      <c r="V68" s="86">
        <v>0</v>
      </c>
      <c r="W68" s="86">
        <v>1</v>
      </c>
      <c r="X68" s="17">
        <v>1</v>
      </c>
      <c r="Y68" s="86">
        <v>1</v>
      </c>
      <c r="Z68" s="86">
        <v>1</v>
      </c>
      <c r="AA68" s="86">
        <v>1</v>
      </c>
      <c r="AB68" s="86">
        <v>0</v>
      </c>
      <c r="AC68" s="86">
        <v>0</v>
      </c>
      <c r="AD68" s="86">
        <v>0</v>
      </c>
      <c r="AO68" s="90" t="s">
        <v>54</v>
      </c>
      <c r="AP68" s="86">
        <v>0</v>
      </c>
      <c r="AQ68" s="86">
        <v>2.7272727272727271</v>
      </c>
    </row>
    <row r="69" spans="1:43" x14ac:dyDescent="0.45">
      <c r="A69" s="3" t="s">
        <v>51</v>
      </c>
      <c r="B69" s="74"/>
      <c r="C69" s="74"/>
      <c r="D69" s="74"/>
      <c r="E69" s="74"/>
      <c r="F69" s="74"/>
      <c r="G69" s="74"/>
      <c r="H69" s="74">
        <v>1</v>
      </c>
      <c r="I69" s="74">
        <v>18</v>
      </c>
      <c r="J69" s="74">
        <v>18</v>
      </c>
      <c r="K69" s="74"/>
      <c r="L69" s="74"/>
      <c r="M69" s="74">
        <v>2</v>
      </c>
      <c r="N69" s="74">
        <v>2</v>
      </c>
      <c r="O69" s="86"/>
      <c r="P69" s="86"/>
      <c r="Q69" s="86">
        <v>3</v>
      </c>
      <c r="R69" s="86"/>
      <c r="S69" s="86">
        <v>3</v>
      </c>
      <c r="T69" s="86">
        <v>0</v>
      </c>
      <c r="U69" s="86">
        <v>0</v>
      </c>
      <c r="V69" s="86">
        <v>0</v>
      </c>
      <c r="W69" s="86">
        <v>0</v>
      </c>
      <c r="X69" s="17">
        <v>0</v>
      </c>
      <c r="Y69" s="86">
        <v>1</v>
      </c>
      <c r="Z69" s="86">
        <v>0</v>
      </c>
      <c r="AA69" s="86">
        <v>3</v>
      </c>
      <c r="AB69" s="86">
        <v>0</v>
      </c>
      <c r="AC69" s="86">
        <v>1</v>
      </c>
      <c r="AD69" s="86">
        <v>1</v>
      </c>
      <c r="AO69" s="90" t="s">
        <v>74</v>
      </c>
      <c r="AP69" s="86">
        <v>0</v>
      </c>
      <c r="AQ69" s="86">
        <v>89.181818181818187</v>
      </c>
    </row>
    <row r="70" spans="1:43" x14ac:dyDescent="0.45">
      <c r="A70" s="3" t="s">
        <v>42</v>
      </c>
      <c r="B70" s="74"/>
      <c r="C70" s="74">
        <v>4</v>
      </c>
      <c r="D70" s="74"/>
      <c r="E70" s="74">
        <v>1</v>
      </c>
      <c r="F70" s="74">
        <v>1</v>
      </c>
      <c r="G70" s="74"/>
      <c r="H70" s="74">
        <v>2</v>
      </c>
      <c r="I70" s="74">
        <v>3</v>
      </c>
      <c r="J70" s="74">
        <v>3</v>
      </c>
      <c r="K70" s="74">
        <v>12</v>
      </c>
      <c r="L70" s="74">
        <v>10</v>
      </c>
      <c r="M70" s="74">
        <v>1</v>
      </c>
      <c r="N70" s="74">
        <v>1</v>
      </c>
      <c r="O70" s="86">
        <v>7</v>
      </c>
      <c r="P70" s="86">
        <v>7</v>
      </c>
      <c r="Q70" s="86"/>
      <c r="R70" s="86"/>
      <c r="S70" s="86">
        <v>8</v>
      </c>
      <c r="T70" s="86">
        <v>4</v>
      </c>
      <c r="U70" s="86">
        <v>4</v>
      </c>
      <c r="V70" s="86">
        <v>4</v>
      </c>
      <c r="W70" s="86">
        <v>2</v>
      </c>
      <c r="X70" s="17">
        <v>2</v>
      </c>
      <c r="Y70" s="86">
        <v>11</v>
      </c>
      <c r="Z70" s="86">
        <v>10</v>
      </c>
      <c r="AA70" s="86">
        <v>29</v>
      </c>
      <c r="AB70" s="86">
        <v>19</v>
      </c>
      <c r="AC70" s="86">
        <v>4</v>
      </c>
      <c r="AD70" s="86">
        <v>3</v>
      </c>
      <c r="AO70" s="90" t="s">
        <v>16</v>
      </c>
      <c r="AP70" s="86">
        <v>0</v>
      </c>
      <c r="AQ70" s="213">
        <v>9.0909090909090912E-2</v>
      </c>
    </row>
    <row r="71" spans="1:43" x14ac:dyDescent="0.45">
      <c r="A71" s="3" t="s">
        <v>8</v>
      </c>
      <c r="B71" s="74"/>
      <c r="C71" s="74"/>
      <c r="D71" s="74"/>
      <c r="E71" s="74">
        <v>5</v>
      </c>
      <c r="F71" s="74">
        <v>2</v>
      </c>
      <c r="G71" s="74">
        <v>1</v>
      </c>
      <c r="H71" s="74">
        <v>2</v>
      </c>
      <c r="I71" s="74">
        <v>11</v>
      </c>
      <c r="J71" s="74">
        <v>3</v>
      </c>
      <c r="K71" s="74">
        <v>50</v>
      </c>
      <c r="L71" s="74">
        <v>37</v>
      </c>
      <c r="M71" s="74">
        <v>24</v>
      </c>
      <c r="N71" s="74">
        <v>20</v>
      </c>
      <c r="O71" s="86">
        <v>8</v>
      </c>
      <c r="P71" s="86">
        <v>7</v>
      </c>
      <c r="Q71" s="86">
        <v>62</v>
      </c>
      <c r="R71" s="86">
        <v>61</v>
      </c>
      <c r="S71" s="86">
        <v>36</v>
      </c>
      <c r="T71" s="86">
        <v>36</v>
      </c>
      <c r="U71" s="86">
        <v>39</v>
      </c>
      <c r="V71" s="86">
        <v>38</v>
      </c>
      <c r="W71" s="86">
        <v>51</v>
      </c>
      <c r="X71" s="17">
        <v>28</v>
      </c>
      <c r="Y71" s="86">
        <v>58</v>
      </c>
      <c r="Z71" s="86">
        <v>54</v>
      </c>
      <c r="AA71" s="86">
        <v>53</v>
      </c>
      <c r="AB71" s="86">
        <v>53</v>
      </c>
      <c r="AC71" s="86">
        <v>28</v>
      </c>
      <c r="AD71" s="86">
        <v>23</v>
      </c>
      <c r="AO71" s="90" t="s">
        <v>17</v>
      </c>
      <c r="AP71" s="86">
        <v>28.571428571428573</v>
      </c>
      <c r="AQ71" s="86">
        <v>1.8181818181818181</v>
      </c>
    </row>
    <row r="72" spans="1:43" x14ac:dyDescent="0.45">
      <c r="A72" s="3" t="s">
        <v>9</v>
      </c>
      <c r="B72" s="74">
        <v>1000</v>
      </c>
      <c r="C72" s="74">
        <v>75</v>
      </c>
      <c r="D72" s="74">
        <v>3015</v>
      </c>
      <c r="E72" s="74">
        <v>602</v>
      </c>
      <c r="F72" s="74">
        <f>9980+30</f>
        <v>10010</v>
      </c>
      <c r="G72" s="74">
        <v>1200</v>
      </c>
      <c r="H72" s="74">
        <v>830</v>
      </c>
      <c r="I72" s="74">
        <v>272</v>
      </c>
      <c r="J72" s="74">
        <v>69</v>
      </c>
      <c r="K72" s="74">
        <v>96</v>
      </c>
      <c r="L72" s="74">
        <v>39</v>
      </c>
      <c r="M72" s="74">
        <v>563</v>
      </c>
      <c r="N72" s="74">
        <v>238</v>
      </c>
      <c r="O72" s="86">
        <v>2880</v>
      </c>
      <c r="P72" s="86">
        <v>541</v>
      </c>
      <c r="Q72" s="86">
        <v>748</v>
      </c>
      <c r="R72" s="86">
        <v>280</v>
      </c>
      <c r="S72" s="86">
        <v>2600</v>
      </c>
      <c r="T72" s="86">
        <v>2386</v>
      </c>
      <c r="U72" s="86">
        <v>2111</v>
      </c>
      <c r="V72" s="86">
        <v>1814</v>
      </c>
      <c r="W72" s="86">
        <v>1323</v>
      </c>
      <c r="X72" s="17">
        <v>633</v>
      </c>
      <c r="Y72" s="86">
        <v>1170</v>
      </c>
      <c r="Z72" s="86">
        <v>657</v>
      </c>
      <c r="AA72" s="86">
        <v>615</v>
      </c>
      <c r="AB72" s="86">
        <v>399</v>
      </c>
      <c r="AC72" s="86">
        <v>850</v>
      </c>
      <c r="AD72" s="86">
        <v>133</v>
      </c>
    </row>
    <row r="73" spans="1:43" x14ac:dyDescent="0.45">
      <c r="A73" s="3" t="s">
        <v>44</v>
      </c>
      <c r="B73" s="74">
        <v>1</v>
      </c>
      <c r="C73" s="74"/>
      <c r="D73" s="74">
        <v>3</v>
      </c>
      <c r="E73" s="74"/>
      <c r="F73" s="74">
        <v>7</v>
      </c>
      <c r="G73" s="74">
        <v>1</v>
      </c>
      <c r="H73" s="74">
        <v>8</v>
      </c>
      <c r="I73" s="74">
        <v>1</v>
      </c>
      <c r="J73" s="74"/>
      <c r="K73" s="74">
        <v>7</v>
      </c>
      <c r="L73" s="74">
        <v>6</v>
      </c>
      <c r="M73" s="74">
        <v>1</v>
      </c>
      <c r="N73" s="74"/>
      <c r="O73" s="86">
        <v>1</v>
      </c>
      <c r="P73" s="86">
        <v>1</v>
      </c>
      <c r="Q73" s="86">
        <v>9</v>
      </c>
      <c r="R73" s="86">
        <v>8</v>
      </c>
      <c r="S73" s="86">
        <v>2</v>
      </c>
      <c r="T73" s="86">
        <v>2</v>
      </c>
      <c r="U73" s="86">
        <v>4</v>
      </c>
      <c r="V73" s="86">
        <v>4</v>
      </c>
      <c r="W73" s="86">
        <v>9</v>
      </c>
      <c r="X73" s="17">
        <v>6</v>
      </c>
      <c r="Y73" s="86">
        <v>7</v>
      </c>
      <c r="Z73" s="86">
        <v>7</v>
      </c>
      <c r="AA73" s="86">
        <v>3</v>
      </c>
      <c r="AB73" s="86">
        <v>2</v>
      </c>
      <c r="AC73" s="86">
        <v>5</v>
      </c>
      <c r="AD73" s="86">
        <v>5</v>
      </c>
    </row>
    <row r="74" spans="1:43" x14ac:dyDescent="0.45">
      <c r="A74" s="3" t="s">
        <v>10</v>
      </c>
      <c r="B74" s="74">
        <v>600</v>
      </c>
      <c r="C74" s="74">
        <v>451</v>
      </c>
      <c r="D74" s="74">
        <v>1812</v>
      </c>
      <c r="E74" s="74">
        <v>766</v>
      </c>
      <c r="F74" s="74">
        <v>1730</v>
      </c>
      <c r="G74" s="74">
        <v>500</v>
      </c>
      <c r="H74" s="74">
        <v>262</v>
      </c>
      <c r="I74" s="74">
        <v>81</v>
      </c>
      <c r="J74" s="74">
        <v>46</v>
      </c>
      <c r="K74" s="74">
        <v>372</v>
      </c>
      <c r="L74" s="74">
        <v>294</v>
      </c>
      <c r="M74" s="74">
        <v>121</v>
      </c>
      <c r="N74" s="74">
        <v>89</v>
      </c>
      <c r="O74" s="86">
        <v>70</v>
      </c>
      <c r="P74" s="86">
        <v>27</v>
      </c>
      <c r="Q74" s="86">
        <v>21</v>
      </c>
      <c r="R74" s="86">
        <v>8</v>
      </c>
      <c r="S74" s="86">
        <v>55</v>
      </c>
      <c r="T74" s="86">
        <v>49</v>
      </c>
      <c r="U74" s="86">
        <v>352</v>
      </c>
      <c r="V74" s="86">
        <v>28</v>
      </c>
      <c r="W74" s="86">
        <v>55</v>
      </c>
      <c r="X74" s="17">
        <v>48</v>
      </c>
      <c r="Y74" s="86">
        <v>122</v>
      </c>
      <c r="Z74" s="86">
        <v>121</v>
      </c>
      <c r="AA74" s="86">
        <v>92</v>
      </c>
      <c r="AB74" s="86">
        <v>55</v>
      </c>
      <c r="AC74" s="86">
        <v>22</v>
      </c>
      <c r="AD74" s="86">
        <v>19</v>
      </c>
    </row>
    <row r="75" spans="1:43" x14ac:dyDescent="0.45">
      <c r="A75" s="3" t="s">
        <v>11</v>
      </c>
      <c r="B75" s="74">
        <v>14000</v>
      </c>
      <c r="C75" s="74">
        <v>12025</v>
      </c>
      <c r="D75" s="74">
        <v>2010</v>
      </c>
      <c r="E75" s="74">
        <v>20510</v>
      </c>
      <c r="F75" s="74">
        <v>20725</v>
      </c>
      <c r="G75" s="74">
        <v>7200</v>
      </c>
      <c r="H75" s="74">
        <v>17469</v>
      </c>
      <c r="I75" s="74">
        <v>3228</v>
      </c>
      <c r="J75" s="74">
        <v>3071</v>
      </c>
      <c r="K75" s="74">
        <v>4996</v>
      </c>
      <c r="L75" s="74">
        <v>4935</v>
      </c>
      <c r="M75" s="74">
        <v>4098</v>
      </c>
      <c r="N75" s="74">
        <v>3908</v>
      </c>
      <c r="O75" s="86">
        <v>16357</v>
      </c>
      <c r="P75" s="86">
        <v>16040</v>
      </c>
      <c r="Q75" s="86">
        <v>7964</v>
      </c>
      <c r="R75" s="86">
        <v>7732</v>
      </c>
      <c r="S75" s="86">
        <v>3998</v>
      </c>
      <c r="T75" s="86">
        <v>3834</v>
      </c>
      <c r="U75" s="86">
        <v>2267</v>
      </c>
      <c r="V75" s="86">
        <v>2169</v>
      </c>
      <c r="W75" s="86">
        <v>1390</v>
      </c>
      <c r="X75" s="17">
        <v>929</v>
      </c>
      <c r="Y75" s="86">
        <v>7225</v>
      </c>
      <c r="Z75" s="86">
        <v>6925</v>
      </c>
      <c r="AA75" s="86">
        <v>14476</v>
      </c>
      <c r="AB75" s="86">
        <v>13506</v>
      </c>
      <c r="AC75" s="86">
        <v>2941</v>
      </c>
      <c r="AD75" s="86">
        <v>2737</v>
      </c>
    </row>
    <row r="76" spans="1:43" x14ac:dyDescent="0.45">
      <c r="A76" s="3" t="s">
        <v>12</v>
      </c>
      <c r="B76" s="74">
        <v>50</v>
      </c>
      <c r="C76" s="74"/>
      <c r="D76" s="74"/>
      <c r="E76" s="74">
        <v>2</v>
      </c>
      <c r="F76" s="74">
        <v>21</v>
      </c>
      <c r="G76" s="74">
        <v>2</v>
      </c>
      <c r="H76" s="74">
        <v>20</v>
      </c>
      <c r="I76" s="74">
        <v>136</v>
      </c>
      <c r="J76" s="74">
        <v>121</v>
      </c>
      <c r="K76" s="74">
        <v>245</v>
      </c>
      <c r="L76" s="74">
        <v>195</v>
      </c>
      <c r="M76" s="74">
        <v>218</v>
      </c>
      <c r="N76" s="74">
        <v>168</v>
      </c>
      <c r="O76" s="86">
        <v>102</v>
      </c>
      <c r="P76" s="86">
        <v>100</v>
      </c>
      <c r="Q76" s="86">
        <v>128</v>
      </c>
      <c r="R76" s="86">
        <v>74</v>
      </c>
      <c r="S76" s="86">
        <v>195</v>
      </c>
      <c r="T76" s="86">
        <v>112</v>
      </c>
      <c r="U76" s="86">
        <v>162</v>
      </c>
      <c r="V76" s="86">
        <v>103</v>
      </c>
      <c r="W76" s="86">
        <v>245</v>
      </c>
      <c r="X76" s="17">
        <v>242</v>
      </c>
      <c r="Y76" s="86">
        <v>102</v>
      </c>
      <c r="Z76" s="86">
        <v>99</v>
      </c>
      <c r="AA76" s="86">
        <v>162</v>
      </c>
      <c r="AB76" s="86">
        <v>147</v>
      </c>
      <c r="AC76" s="86">
        <v>66</v>
      </c>
      <c r="AD76" s="86">
        <v>50</v>
      </c>
    </row>
    <row r="77" spans="1:43" x14ac:dyDescent="0.45">
      <c r="A77" s="3" t="s">
        <v>32</v>
      </c>
      <c r="B77" s="74"/>
      <c r="C77" s="74"/>
      <c r="D77" s="74"/>
      <c r="E77" s="74"/>
      <c r="F77" s="74"/>
      <c r="G77" s="74"/>
      <c r="H77" s="74"/>
      <c r="I77" s="74">
        <v>1</v>
      </c>
      <c r="J77" s="74">
        <v>1</v>
      </c>
      <c r="K77" s="75">
        <v>5</v>
      </c>
      <c r="L77" s="74">
        <v>4</v>
      </c>
      <c r="M77" s="74">
        <v>3</v>
      </c>
      <c r="N77" s="74">
        <v>3</v>
      </c>
      <c r="O77" s="86">
        <v>33</v>
      </c>
      <c r="P77" s="86">
        <v>33</v>
      </c>
      <c r="Q77" s="86"/>
      <c r="R77" s="86"/>
      <c r="S77" s="86">
        <v>13</v>
      </c>
      <c r="T77" s="86">
        <v>12</v>
      </c>
      <c r="U77" s="86">
        <v>33</v>
      </c>
      <c r="V77" s="86">
        <v>31</v>
      </c>
      <c r="W77" s="86">
        <v>1</v>
      </c>
      <c r="X77" s="17">
        <v>1</v>
      </c>
      <c r="Y77" s="86">
        <v>10</v>
      </c>
      <c r="Z77" s="86">
        <v>9</v>
      </c>
      <c r="AA77" s="86">
        <v>10</v>
      </c>
      <c r="AB77" s="86">
        <v>10</v>
      </c>
      <c r="AC77" s="86">
        <v>0</v>
      </c>
      <c r="AD77" s="86">
        <v>0</v>
      </c>
      <c r="AP77" s="17"/>
    </row>
    <row r="78" spans="1:43" x14ac:dyDescent="0.45">
      <c r="A78" s="3" t="s">
        <v>18</v>
      </c>
      <c r="B78" s="74"/>
      <c r="C78" s="74"/>
      <c r="D78" s="74"/>
      <c r="E78" s="74"/>
      <c r="F78" s="74"/>
      <c r="G78" s="74"/>
      <c r="H78" s="74"/>
      <c r="I78" s="74">
        <v>104</v>
      </c>
      <c r="J78" s="74">
        <v>103</v>
      </c>
      <c r="K78" s="74">
        <v>791</v>
      </c>
      <c r="L78" s="74">
        <v>640</v>
      </c>
      <c r="M78" s="74">
        <v>3333</v>
      </c>
      <c r="N78" s="74">
        <v>2987</v>
      </c>
      <c r="O78" s="86">
        <v>844</v>
      </c>
      <c r="P78" s="86">
        <v>617</v>
      </c>
      <c r="Q78" s="86">
        <v>5305</v>
      </c>
      <c r="R78" s="86">
        <v>5272</v>
      </c>
      <c r="S78" s="86">
        <v>987</v>
      </c>
      <c r="T78" s="86">
        <v>987</v>
      </c>
      <c r="U78" s="86">
        <v>306</v>
      </c>
      <c r="V78" s="86">
        <v>285</v>
      </c>
      <c r="W78" s="86">
        <v>6259</v>
      </c>
      <c r="X78" s="17">
        <v>6175</v>
      </c>
      <c r="Y78" s="86">
        <v>360</v>
      </c>
      <c r="Z78" s="86">
        <v>360</v>
      </c>
      <c r="AA78" s="86">
        <v>400</v>
      </c>
      <c r="AB78" s="86">
        <v>360</v>
      </c>
      <c r="AC78" s="86">
        <v>922</v>
      </c>
      <c r="AD78" s="86">
        <v>836</v>
      </c>
    </row>
    <row r="79" spans="1:43" x14ac:dyDescent="0.45">
      <c r="A79" s="3" t="s">
        <v>46</v>
      </c>
      <c r="B79" s="74"/>
      <c r="C79" s="74"/>
      <c r="D79" s="74"/>
      <c r="E79" s="74"/>
      <c r="F79" s="74"/>
      <c r="G79" s="74"/>
      <c r="H79" s="74"/>
      <c r="I79" s="74"/>
      <c r="J79" s="74"/>
      <c r="K79" s="74">
        <v>1</v>
      </c>
      <c r="L79" s="74">
        <v>1</v>
      </c>
      <c r="M79" s="74">
        <v>8</v>
      </c>
      <c r="N79" s="74">
        <v>8</v>
      </c>
      <c r="O79" s="86">
        <v>8</v>
      </c>
      <c r="P79" s="86">
        <v>8</v>
      </c>
      <c r="Q79" s="86"/>
      <c r="R79" s="86"/>
      <c r="S79" s="86">
        <v>2</v>
      </c>
      <c r="T79" s="86">
        <v>2</v>
      </c>
      <c r="U79" s="86">
        <v>0</v>
      </c>
      <c r="V79" s="86">
        <v>0</v>
      </c>
      <c r="W79" s="86">
        <v>0</v>
      </c>
      <c r="X79" s="17">
        <v>0</v>
      </c>
      <c r="Y79" s="86">
        <v>0</v>
      </c>
      <c r="Z79" s="86">
        <v>0</v>
      </c>
      <c r="AA79" s="86">
        <v>1</v>
      </c>
      <c r="AB79" s="86">
        <v>1</v>
      </c>
      <c r="AC79" s="86">
        <v>1</v>
      </c>
      <c r="AD79" s="86">
        <v>1</v>
      </c>
    </row>
    <row r="80" spans="1:43" x14ac:dyDescent="0.45">
      <c r="A80" s="3" t="s">
        <v>13</v>
      </c>
      <c r="B80" s="74">
        <v>2</v>
      </c>
      <c r="C80" s="74"/>
      <c r="D80" s="74"/>
      <c r="E80" s="74">
        <v>1</v>
      </c>
      <c r="F80" s="74">
        <v>1</v>
      </c>
      <c r="G80" s="74"/>
      <c r="H80" s="74"/>
      <c r="I80" s="74"/>
      <c r="J80" s="74"/>
      <c r="K80" s="74">
        <v>7</v>
      </c>
      <c r="L80" s="74"/>
      <c r="M80" s="74"/>
      <c r="N80" s="74"/>
      <c r="O80" s="86">
        <v>1</v>
      </c>
      <c r="P80" s="86">
        <v>1</v>
      </c>
      <c r="Q80" s="86">
        <v>146</v>
      </c>
      <c r="R80" s="86">
        <v>139</v>
      </c>
      <c r="S80" s="86">
        <v>98</v>
      </c>
      <c r="T80" s="86">
        <v>90</v>
      </c>
      <c r="U80" s="86">
        <v>11</v>
      </c>
      <c r="V80" s="86">
        <v>4</v>
      </c>
      <c r="W80" s="86">
        <v>0</v>
      </c>
      <c r="X80" s="17">
        <v>0</v>
      </c>
      <c r="Y80" s="86">
        <v>15</v>
      </c>
      <c r="Z80" s="86">
        <v>15</v>
      </c>
      <c r="AA80" s="86">
        <v>11</v>
      </c>
      <c r="AB80" s="86">
        <v>10</v>
      </c>
      <c r="AC80" s="86">
        <v>40</v>
      </c>
      <c r="AD80" s="86">
        <v>40</v>
      </c>
    </row>
    <row r="81" spans="1:32" x14ac:dyDescent="0.45">
      <c r="A81" s="3" t="s">
        <v>14</v>
      </c>
      <c r="B81" s="74">
        <v>130</v>
      </c>
      <c r="C81" s="74">
        <v>1760</v>
      </c>
      <c r="D81" s="74">
        <v>133</v>
      </c>
      <c r="E81" s="74">
        <v>1219</v>
      </c>
      <c r="F81" s="74">
        <v>3271</v>
      </c>
      <c r="G81" s="74">
        <v>562</v>
      </c>
      <c r="H81" s="74">
        <v>642</v>
      </c>
      <c r="I81" s="74">
        <v>1092</v>
      </c>
      <c r="J81" s="74">
        <v>1091</v>
      </c>
      <c r="K81" s="74">
        <v>556</v>
      </c>
      <c r="L81" s="74">
        <v>535</v>
      </c>
      <c r="M81" s="74">
        <v>1002</v>
      </c>
      <c r="N81" s="74">
        <v>938</v>
      </c>
      <c r="O81" s="86">
        <v>1180</v>
      </c>
      <c r="P81" s="86">
        <v>1157</v>
      </c>
      <c r="Q81" s="86">
        <v>2440</v>
      </c>
      <c r="R81" s="86">
        <v>2431</v>
      </c>
      <c r="S81" s="86">
        <v>1520</v>
      </c>
      <c r="T81" s="86">
        <v>1480</v>
      </c>
      <c r="U81" s="86">
        <v>825</v>
      </c>
      <c r="V81" s="86">
        <v>785</v>
      </c>
      <c r="W81" s="86">
        <v>508</v>
      </c>
      <c r="X81" s="17">
        <v>507</v>
      </c>
      <c r="Y81" s="86">
        <v>590</v>
      </c>
      <c r="Z81" s="86">
        <v>494</v>
      </c>
      <c r="AA81" s="86">
        <v>926</v>
      </c>
      <c r="AB81" s="86">
        <v>640</v>
      </c>
      <c r="AC81" s="86">
        <v>579</v>
      </c>
      <c r="AD81" s="86">
        <v>578</v>
      </c>
    </row>
    <row r="82" spans="1:32" x14ac:dyDescent="0.45">
      <c r="A82" s="3" t="s">
        <v>40</v>
      </c>
      <c r="B82" s="74"/>
      <c r="C82" s="74"/>
      <c r="D82" s="74"/>
      <c r="E82" s="74"/>
      <c r="F82" s="74">
        <f>6+1</f>
        <v>7</v>
      </c>
      <c r="G82" s="74">
        <v>2</v>
      </c>
      <c r="H82" s="74"/>
      <c r="I82" s="74"/>
      <c r="J82" s="74"/>
      <c r="K82" s="74">
        <v>5</v>
      </c>
      <c r="L82" s="74"/>
      <c r="M82" s="74">
        <v>1</v>
      </c>
      <c r="N82" s="74"/>
      <c r="O82" s="86">
        <v>4</v>
      </c>
      <c r="P82" s="86">
        <v>1</v>
      </c>
      <c r="Q82" s="86">
        <v>2</v>
      </c>
      <c r="R82" s="86"/>
      <c r="S82" s="86">
        <v>6</v>
      </c>
      <c r="T82" s="86">
        <v>6</v>
      </c>
      <c r="U82" s="86">
        <v>2</v>
      </c>
      <c r="V82" s="86">
        <v>0</v>
      </c>
      <c r="W82" s="86">
        <v>1</v>
      </c>
      <c r="X82" s="17">
        <v>1</v>
      </c>
      <c r="Y82" s="86">
        <v>5</v>
      </c>
      <c r="Z82" s="86">
        <v>0</v>
      </c>
      <c r="AA82" s="86">
        <v>6</v>
      </c>
      <c r="AB82" s="86">
        <v>4</v>
      </c>
      <c r="AC82" s="86">
        <v>3</v>
      </c>
      <c r="AD82" s="86">
        <v>2</v>
      </c>
    </row>
    <row r="83" spans="1:32" x14ac:dyDescent="0.45">
      <c r="A83" s="3" t="s">
        <v>52</v>
      </c>
      <c r="B83" s="74"/>
      <c r="C83" s="74"/>
      <c r="D83" s="74"/>
      <c r="E83" s="74"/>
      <c r="F83" s="74"/>
      <c r="G83" s="74"/>
      <c r="H83" s="74"/>
      <c r="I83" s="74">
        <v>1</v>
      </c>
      <c r="J83" s="74">
        <v>1</v>
      </c>
      <c r="K83" s="74"/>
      <c r="L83" s="74"/>
      <c r="M83" s="74"/>
      <c r="N83" s="74"/>
      <c r="O83" s="86">
        <v>6</v>
      </c>
      <c r="P83" s="86">
        <v>6</v>
      </c>
      <c r="Q83" s="86"/>
      <c r="R83" s="86"/>
      <c r="S83" s="86">
        <v>0</v>
      </c>
      <c r="T83" s="86">
        <v>0</v>
      </c>
      <c r="U83" s="86">
        <v>0</v>
      </c>
      <c r="V83" s="86">
        <v>0</v>
      </c>
      <c r="W83" s="86">
        <v>1</v>
      </c>
      <c r="X83" s="17">
        <v>1</v>
      </c>
      <c r="Y83" s="86">
        <v>0</v>
      </c>
      <c r="Z83" s="86">
        <v>0</v>
      </c>
      <c r="AA83" s="86">
        <v>0</v>
      </c>
      <c r="AB83" s="86">
        <v>0</v>
      </c>
      <c r="AC83" s="86">
        <v>0</v>
      </c>
      <c r="AD83" s="86">
        <v>0</v>
      </c>
    </row>
    <row r="84" spans="1:32" x14ac:dyDescent="0.45">
      <c r="A84" s="3" t="s">
        <v>53</v>
      </c>
      <c r="B84" s="74"/>
      <c r="C84" s="74"/>
      <c r="D84" s="74"/>
      <c r="E84" s="74"/>
      <c r="F84" s="74"/>
      <c r="G84" s="74">
        <v>1</v>
      </c>
      <c r="H84" s="74">
        <v>2</v>
      </c>
      <c r="I84" s="74"/>
      <c r="J84" s="74"/>
      <c r="K84" s="74"/>
      <c r="L84" s="74"/>
      <c r="M84" s="74">
        <v>2</v>
      </c>
      <c r="N84" s="74"/>
      <c r="O84" s="86"/>
      <c r="P84" s="86"/>
      <c r="Q84" s="86"/>
      <c r="R84" s="86"/>
      <c r="S84" s="86">
        <v>1</v>
      </c>
      <c r="T84" s="86">
        <v>1</v>
      </c>
      <c r="U84" s="86">
        <v>1</v>
      </c>
      <c r="V84" s="86">
        <v>1</v>
      </c>
      <c r="W84" s="86">
        <v>0</v>
      </c>
      <c r="X84" s="17">
        <v>0</v>
      </c>
      <c r="Y84" s="86">
        <v>0</v>
      </c>
      <c r="Z84" s="86">
        <v>0</v>
      </c>
      <c r="AA84" s="86">
        <v>0</v>
      </c>
      <c r="AB84" s="86">
        <v>0</v>
      </c>
      <c r="AC84" s="86">
        <v>0</v>
      </c>
      <c r="AD84" s="86">
        <v>0</v>
      </c>
    </row>
    <row r="85" spans="1:32" x14ac:dyDescent="0.45">
      <c r="A85" s="3" t="s">
        <v>15</v>
      </c>
      <c r="B85" s="74">
        <v>600</v>
      </c>
      <c r="C85" s="74">
        <v>525</v>
      </c>
      <c r="D85" s="74">
        <v>58</v>
      </c>
      <c r="E85" s="74">
        <v>183</v>
      </c>
      <c r="F85" s="74">
        <v>1354</v>
      </c>
      <c r="G85" s="74">
        <v>325</v>
      </c>
      <c r="H85" s="74">
        <v>175</v>
      </c>
      <c r="I85" s="74">
        <v>125</v>
      </c>
      <c r="J85" s="74">
        <v>22</v>
      </c>
      <c r="K85" s="74"/>
      <c r="L85" s="74"/>
      <c r="M85" s="74">
        <v>33</v>
      </c>
      <c r="N85" s="74">
        <v>32</v>
      </c>
      <c r="O85" s="86">
        <v>76</v>
      </c>
      <c r="P85" s="86">
        <v>63</v>
      </c>
      <c r="Q85" s="86">
        <v>18</v>
      </c>
      <c r="R85" s="86">
        <v>16</v>
      </c>
      <c r="S85" s="86">
        <v>13</v>
      </c>
      <c r="T85" s="86">
        <v>3</v>
      </c>
      <c r="U85" s="86">
        <v>0</v>
      </c>
      <c r="V85" s="86">
        <v>0</v>
      </c>
      <c r="W85" s="86">
        <v>20</v>
      </c>
      <c r="X85" s="17">
        <v>17</v>
      </c>
      <c r="Y85" s="86">
        <v>56</v>
      </c>
      <c r="Z85" s="86">
        <v>38</v>
      </c>
      <c r="AA85" s="86">
        <v>24</v>
      </c>
      <c r="AB85" s="86">
        <v>24</v>
      </c>
      <c r="AC85" s="86">
        <v>2</v>
      </c>
      <c r="AD85" s="86">
        <v>0</v>
      </c>
    </row>
    <row r="86" spans="1:32" s="2" customFormat="1" x14ac:dyDescent="0.45">
      <c r="A86" s="3" t="s">
        <v>54</v>
      </c>
      <c r="B86" s="74"/>
      <c r="C86" s="74"/>
      <c r="D86" s="74"/>
      <c r="E86" s="74"/>
      <c r="F86" s="74"/>
      <c r="G86" s="74"/>
      <c r="H86" s="74"/>
      <c r="I86" s="74"/>
      <c r="J86" s="74"/>
      <c r="K86" s="74"/>
      <c r="L86" s="74"/>
      <c r="M86" s="74">
        <v>14</v>
      </c>
      <c r="N86" s="74"/>
      <c r="O86" s="86">
        <v>1</v>
      </c>
      <c r="P86" s="86">
        <v>1</v>
      </c>
      <c r="Q86" s="86">
        <v>22</v>
      </c>
      <c r="R86" s="86">
        <v>19</v>
      </c>
      <c r="S86" s="86">
        <v>36</v>
      </c>
      <c r="T86" s="86">
        <v>0</v>
      </c>
      <c r="U86" s="86">
        <v>0</v>
      </c>
      <c r="V86" s="86">
        <v>0</v>
      </c>
      <c r="W86" s="86">
        <v>1</v>
      </c>
      <c r="X86" s="17">
        <v>0</v>
      </c>
      <c r="Y86" s="86">
        <v>37</v>
      </c>
      <c r="Z86" s="86">
        <v>1</v>
      </c>
      <c r="AA86" s="86">
        <v>7</v>
      </c>
      <c r="AB86" s="86">
        <v>7</v>
      </c>
      <c r="AC86" s="86">
        <v>3</v>
      </c>
      <c r="AD86" s="86">
        <v>2</v>
      </c>
      <c r="AE86"/>
      <c r="AF86"/>
    </row>
    <row r="87" spans="1:32" x14ac:dyDescent="0.45">
      <c r="A87" s="3" t="s">
        <v>74</v>
      </c>
      <c r="B87" s="74"/>
      <c r="C87" s="74"/>
      <c r="D87" s="74"/>
      <c r="E87" s="74"/>
      <c r="F87" s="74"/>
      <c r="G87" s="74"/>
      <c r="H87" s="74"/>
      <c r="I87" s="74">
        <v>99</v>
      </c>
      <c r="J87" s="74">
        <v>97</v>
      </c>
      <c r="K87" s="74">
        <v>82</v>
      </c>
      <c r="L87" s="74">
        <v>71</v>
      </c>
      <c r="M87" s="74">
        <v>42</v>
      </c>
      <c r="N87" s="74">
        <v>42</v>
      </c>
      <c r="O87">
        <v>75</v>
      </c>
      <c r="P87" s="86">
        <v>75</v>
      </c>
      <c r="Q87" s="86">
        <v>344</v>
      </c>
      <c r="R87" s="86">
        <v>304</v>
      </c>
      <c r="S87" s="86">
        <v>49</v>
      </c>
      <c r="T87" s="86">
        <v>43</v>
      </c>
      <c r="U87" s="86">
        <v>65</v>
      </c>
      <c r="V87" s="86">
        <v>48</v>
      </c>
      <c r="W87" s="86">
        <v>17</v>
      </c>
      <c r="X87" s="17">
        <v>17</v>
      </c>
      <c r="Y87" s="86">
        <v>14</v>
      </c>
      <c r="Z87" s="86">
        <v>11</v>
      </c>
      <c r="AA87" s="86">
        <v>139</v>
      </c>
      <c r="AB87" s="86">
        <v>120</v>
      </c>
      <c r="AC87" s="86">
        <v>176</v>
      </c>
      <c r="AD87" s="86">
        <v>153</v>
      </c>
    </row>
    <row r="88" spans="1:32" x14ac:dyDescent="0.45">
      <c r="A88" s="3" t="s">
        <v>16</v>
      </c>
      <c r="B88" s="74"/>
      <c r="C88" s="74"/>
      <c r="D88" s="74"/>
      <c r="E88" s="74"/>
      <c r="F88" s="74"/>
      <c r="G88" s="74"/>
      <c r="H88" s="74"/>
      <c r="I88" s="74">
        <v>1</v>
      </c>
      <c r="J88" s="74"/>
      <c r="K88" s="74">
        <v>5</v>
      </c>
      <c r="L88" s="74"/>
      <c r="M88" s="74">
        <v>1</v>
      </c>
      <c r="N88" s="74"/>
      <c r="O88" s="86"/>
      <c r="P88" s="86"/>
      <c r="Q88" s="86"/>
      <c r="R88" s="86"/>
      <c r="S88" s="86">
        <v>0</v>
      </c>
      <c r="T88" s="86">
        <v>0</v>
      </c>
      <c r="U88" s="86">
        <v>0</v>
      </c>
      <c r="V88" s="86">
        <v>0</v>
      </c>
      <c r="W88" s="86">
        <v>0</v>
      </c>
      <c r="X88" s="17">
        <v>0</v>
      </c>
      <c r="Y88" s="86">
        <v>0</v>
      </c>
      <c r="Z88" s="86">
        <v>0</v>
      </c>
      <c r="AA88" s="86">
        <v>0</v>
      </c>
      <c r="AB88" s="86">
        <v>0</v>
      </c>
      <c r="AC88" s="86">
        <v>3</v>
      </c>
      <c r="AD88" s="86">
        <v>1</v>
      </c>
    </row>
    <row r="89" spans="1:32" x14ac:dyDescent="0.45">
      <c r="A89" s="131" t="s">
        <v>17</v>
      </c>
      <c r="B89" s="20"/>
      <c r="C89" s="20"/>
      <c r="D89" s="20"/>
      <c r="E89" s="20">
        <v>100</v>
      </c>
      <c r="F89" s="20"/>
      <c r="G89" s="20"/>
      <c r="H89" s="20">
        <v>100</v>
      </c>
      <c r="I89" s="20">
        <v>1630</v>
      </c>
      <c r="J89" s="20"/>
      <c r="K89" s="20">
        <v>1500</v>
      </c>
      <c r="L89" s="20"/>
      <c r="M89" s="20">
        <v>5001</v>
      </c>
      <c r="N89" s="20">
        <v>1</v>
      </c>
      <c r="O89" s="130">
        <v>1501</v>
      </c>
      <c r="P89" s="130"/>
      <c r="Q89" s="86">
        <v>703</v>
      </c>
      <c r="R89" s="86"/>
      <c r="S89" s="86">
        <v>3002</v>
      </c>
      <c r="T89" s="86">
        <v>1</v>
      </c>
      <c r="U89" s="86">
        <v>1502</v>
      </c>
      <c r="V89" s="86">
        <v>1</v>
      </c>
      <c r="W89" s="86">
        <v>39</v>
      </c>
      <c r="X89" s="17">
        <v>17</v>
      </c>
      <c r="Y89" s="86">
        <v>102</v>
      </c>
      <c r="Z89" s="86">
        <v>0</v>
      </c>
      <c r="AA89" s="86">
        <v>0</v>
      </c>
      <c r="AB89" s="86">
        <v>0</v>
      </c>
      <c r="AC89" s="86">
        <v>0</v>
      </c>
      <c r="AD89" s="86">
        <v>0</v>
      </c>
    </row>
    <row r="90" spans="1:32" x14ac:dyDescent="0.45">
      <c r="A90" s="90" t="s">
        <v>55</v>
      </c>
      <c r="S90">
        <v>4</v>
      </c>
      <c r="U90" s="86">
        <v>0</v>
      </c>
      <c r="V90" s="86">
        <v>0</v>
      </c>
      <c r="W90" s="86">
        <v>0</v>
      </c>
      <c r="X90" s="17">
        <v>0</v>
      </c>
      <c r="Y90" s="86">
        <v>0</v>
      </c>
      <c r="Z90" s="86">
        <v>0</v>
      </c>
      <c r="AA90" s="86">
        <v>1000</v>
      </c>
      <c r="AB90" s="86">
        <v>0</v>
      </c>
      <c r="AC90" s="86">
        <v>2513</v>
      </c>
      <c r="AD90" s="86">
        <v>12</v>
      </c>
    </row>
    <row r="91" spans="1:32" x14ac:dyDescent="0.45">
      <c r="A91" s="34" t="s">
        <v>151</v>
      </c>
      <c r="B91" s="91"/>
      <c r="C91" s="91"/>
      <c r="D91" s="91"/>
      <c r="E91" s="91"/>
      <c r="F91" s="91"/>
      <c r="G91" s="91"/>
      <c r="H91" s="91"/>
      <c r="I91" s="91"/>
      <c r="J91" s="91"/>
      <c r="K91" s="91"/>
      <c r="L91" s="91"/>
      <c r="M91" s="91"/>
      <c r="N91" s="91"/>
      <c r="O91" s="91"/>
      <c r="P91" s="91"/>
      <c r="Q91" s="99">
        <v>5</v>
      </c>
      <c r="R91" s="99">
        <v>5</v>
      </c>
      <c r="S91" s="99">
        <v>0</v>
      </c>
      <c r="T91" s="99">
        <v>0</v>
      </c>
      <c r="U91" s="86">
        <v>0</v>
      </c>
      <c r="V91" s="86">
        <v>0</v>
      </c>
      <c r="W91" s="86">
        <v>0</v>
      </c>
      <c r="X91" s="17">
        <v>0</v>
      </c>
      <c r="Y91" s="86">
        <v>0</v>
      </c>
      <c r="Z91" s="86">
        <v>0</v>
      </c>
      <c r="AA91" s="86">
        <v>0</v>
      </c>
      <c r="AB91" s="86"/>
      <c r="AC91" s="86">
        <v>0</v>
      </c>
      <c r="AD91" s="86">
        <v>0</v>
      </c>
    </row>
    <row r="92" spans="1:32" x14ac:dyDescent="0.45">
      <c r="A92" s="11" t="s">
        <v>24</v>
      </c>
      <c r="B92" s="74">
        <f t="shared" ref="B92:L92" si="2">SUM(B59:B89)</f>
        <v>16664</v>
      </c>
      <c r="C92" s="74">
        <f t="shared" si="2"/>
        <v>14849</v>
      </c>
      <c r="D92" s="74">
        <f t="shared" si="2"/>
        <v>7123</v>
      </c>
      <c r="E92" s="74">
        <f t="shared" si="2"/>
        <v>23478</v>
      </c>
      <c r="F92" s="74">
        <f t="shared" si="2"/>
        <v>37437</v>
      </c>
      <c r="G92" s="74">
        <f t="shared" si="2"/>
        <v>9872</v>
      </c>
      <c r="H92" s="74">
        <f t="shared" si="2"/>
        <v>19628</v>
      </c>
      <c r="I92" s="74">
        <f t="shared" si="2"/>
        <v>7195</v>
      </c>
      <c r="J92" s="74">
        <f t="shared" si="2"/>
        <v>4994</v>
      </c>
      <c r="K92" s="74">
        <f t="shared" si="2"/>
        <v>9343</v>
      </c>
      <c r="L92" s="74">
        <f t="shared" si="2"/>
        <v>7314</v>
      </c>
      <c r="M92" s="74">
        <v>14939</v>
      </c>
      <c r="N92" s="74">
        <v>8858</v>
      </c>
      <c r="O92" s="86">
        <v>23817</v>
      </c>
      <c r="P92" s="86">
        <v>19309</v>
      </c>
      <c r="Q92" s="86">
        <v>18458</v>
      </c>
      <c r="R92" s="86">
        <v>16815</v>
      </c>
      <c r="S92" s="17">
        <f>SUM(S59:S91)</f>
        <v>13017</v>
      </c>
      <c r="T92" s="86">
        <v>9402</v>
      </c>
      <c r="U92" s="164">
        <f>SUM(U59:U91)</f>
        <v>8220</v>
      </c>
      <c r="V92" s="160">
        <f>SUM(V59:V91)</f>
        <v>5776</v>
      </c>
      <c r="W92" s="160">
        <v>10334</v>
      </c>
      <c r="X92" s="164">
        <v>8932</v>
      </c>
      <c r="Y92" s="164">
        <f>SUM(Y59:Y91)</f>
        <v>10265</v>
      </c>
      <c r="Z92" s="164">
        <f>SUM(Z59:Z91)</f>
        <v>9157</v>
      </c>
      <c r="AA92" s="160">
        <v>18466</v>
      </c>
      <c r="AB92" s="160">
        <v>15805</v>
      </c>
      <c r="AC92" s="160">
        <v>8623</v>
      </c>
      <c r="AD92" s="160">
        <v>4955</v>
      </c>
    </row>
    <row r="93" spans="1:32" x14ac:dyDescent="0.45">
      <c r="Y93" s="17"/>
    </row>
    <row r="96" spans="1:32" x14ac:dyDescent="0.45">
      <c r="A96" s="1" t="s">
        <v>90</v>
      </c>
    </row>
    <row r="98" spans="1:33" x14ac:dyDescent="0.45">
      <c r="A98" s="2" t="s">
        <v>76</v>
      </c>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x14ac:dyDescent="0.45">
      <c r="A99" s="2" t="s">
        <v>77</v>
      </c>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1:33" x14ac:dyDescent="0.45">
      <c r="A101" s="36">
        <v>1986</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1:33" x14ac:dyDescent="0.45">
      <c r="A102" s="37" t="s">
        <v>78</v>
      </c>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1:33" x14ac:dyDescent="0.45">
      <c r="A103" s="38"/>
      <c r="B103" s="39">
        <v>31524</v>
      </c>
      <c r="C103" s="39">
        <v>31525</v>
      </c>
      <c r="D103" s="39">
        <v>31526</v>
      </c>
      <c r="E103" s="39">
        <v>31527</v>
      </c>
      <c r="F103" s="39">
        <v>31528</v>
      </c>
      <c r="G103" s="39">
        <v>31529</v>
      </c>
      <c r="H103" s="39">
        <v>31530</v>
      </c>
      <c r="I103" s="39">
        <v>31531</v>
      </c>
      <c r="J103" s="39">
        <v>31532</v>
      </c>
      <c r="K103" s="39">
        <v>31533</v>
      </c>
      <c r="L103" s="40">
        <v>31534</v>
      </c>
      <c r="M103" s="40">
        <v>31535</v>
      </c>
      <c r="N103" s="40">
        <v>31536</v>
      </c>
      <c r="O103" s="40">
        <v>31537</v>
      </c>
      <c r="P103" s="40">
        <v>31538</v>
      </c>
      <c r="Q103" s="40">
        <v>31539</v>
      </c>
      <c r="R103" s="40">
        <v>31540</v>
      </c>
      <c r="S103" s="40">
        <v>31541</v>
      </c>
      <c r="T103" s="40">
        <v>31542</v>
      </c>
      <c r="U103" s="40">
        <v>31543</v>
      </c>
      <c r="V103" s="40">
        <v>31544</v>
      </c>
      <c r="W103" s="40">
        <v>31545</v>
      </c>
      <c r="X103" s="40">
        <v>31546</v>
      </c>
      <c r="Y103" s="40">
        <v>31547</v>
      </c>
      <c r="Z103" s="40">
        <v>31548</v>
      </c>
      <c r="AA103" s="40">
        <v>31549</v>
      </c>
      <c r="AB103" s="40">
        <v>31550</v>
      </c>
      <c r="AC103" s="39">
        <v>31551</v>
      </c>
      <c r="AD103" s="39">
        <v>31552</v>
      </c>
      <c r="AE103" s="39">
        <v>31553</v>
      </c>
      <c r="AF103" s="41" t="s">
        <v>24</v>
      </c>
      <c r="AG103" s="2"/>
    </row>
    <row r="104" spans="1:33" x14ac:dyDescent="0.45">
      <c r="A104" s="38" t="s">
        <v>11</v>
      </c>
      <c r="B104" s="2"/>
      <c r="C104" s="2"/>
      <c r="D104" s="2"/>
      <c r="E104" s="2"/>
      <c r="F104" s="2"/>
      <c r="G104" s="2"/>
      <c r="H104" s="2"/>
      <c r="I104" s="2"/>
      <c r="J104" s="2"/>
      <c r="K104" s="2"/>
      <c r="L104" s="42">
        <v>250</v>
      </c>
      <c r="M104" s="43">
        <v>175</v>
      </c>
      <c r="N104" s="43">
        <v>1400</v>
      </c>
      <c r="O104" s="43">
        <v>5000</v>
      </c>
      <c r="P104" s="43">
        <v>6000</v>
      </c>
      <c r="Q104" s="43">
        <v>6000</v>
      </c>
      <c r="R104" s="43">
        <v>10000</v>
      </c>
      <c r="S104" s="43">
        <v>5000</v>
      </c>
      <c r="T104" s="43">
        <v>5000</v>
      </c>
      <c r="U104" s="43">
        <v>8000</v>
      </c>
      <c r="V104" s="43">
        <v>10000</v>
      </c>
      <c r="W104" s="43">
        <v>8000</v>
      </c>
      <c r="X104" s="43">
        <v>5000</v>
      </c>
      <c r="Y104" s="43">
        <v>2500</v>
      </c>
      <c r="Z104" s="44"/>
      <c r="AA104" s="45"/>
      <c r="AB104" s="45"/>
      <c r="AC104" s="2"/>
      <c r="AD104" s="2"/>
      <c r="AE104" s="2"/>
      <c r="AF104" s="46">
        <f>SUM(B104:AE104)</f>
        <v>72325</v>
      </c>
      <c r="AG104" s="2"/>
    </row>
    <row r="105" spans="1:33" x14ac:dyDescent="0.45">
      <c r="A105" s="38" t="s">
        <v>79</v>
      </c>
      <c r="B105" s="2"/>
      <c r="C105" s="2"/>
      <c r="D105" s="2"/>
      <c r="E105" s="2"/>
      <c r="F105" s="2"/>
      <c r="G105" s="2"/>
      <c r="H105" s="2"/>
      <c r="I105" s="2"/>
      <c r="J105" s="2"/>
      <c r="K105" s="2"/>
      <c r="L105" s="44"/>
      <c r="M105" s="45"/>
      <c r="N105" s="43"/>
      <c r="O105" s="43"/>
      <c r="P105" s="43">
        <v>300</v>
      </c>
      <c r="Q105" s="43">
        <v>1000</v>
      </c>
      <c r="R105" s="43">
        <v>1000</v>
      </c>
      <c r="S105" s="43">
        <v>50</v>
      </c>
      <c r="T105" s="43">
        <v>1000</v>
      </c>
      <c r="U105" s="43">
        <v>700</v>
      </c>
      <c r="V105" s="43">
        <v>500</v>
      </c>
      <c r="W105" s="43">
        <v>800</v>
      </c>
      <c r="X105" s="43">
        <v>500</v>
      </c>
      <c r="Y105" s="43">
        <v>600</v>
      </c>
      <c r="Z105" s="44"/>
      <c r="AA105" s="45"/>
      <c r="AB105" s="45"/>
      <c r="AC105" s="2"/>
      <c r="AD105" s="2"/>
      <c r="AE105" s="2"/>
      <c r="AF105" s="46">
        <f t="shared" ref="AF105:AF114" si="3">SUM(B105:AE105)</f>
        <v>6450</v>
      </c>
      <c r="AG105" s="2"/>
    </row>
    <row r="106" spans="1:33" x14ac:dyDescent="0.45">
      <c r="A106" s="38" t="s">
        <v>15</v>
      </c>
      <c r="B106" s="2"/>
      <c r="C106" s="2"/>
      <c r="D106" s="2"/>
      <c r="E106" s="2"/>
      <c r="F106" s="2"/>
      <c r="G106" s="2"/>
      <c r="H106" s="2"/>
      <c r="I106" s="2"/>
      <c r="J106" s="2"/>
      <c r="K106" s="2"/>
      <c r="L106" s="46"/>
      <c r="M106" s="43"/>
      <c r="N106" s="43">
        <v>100</v>
      </c>
      <c r="O106" s="43">
        <v>200</v>
      </c>
      <c r="P106" s="43">
        <v>200</v>
      </c>
      <c r="Q106" s="43">
        <v>500</v>
      </c>
      <c r="R106" s="43">
        <v>300</v>
      </c>
      <c r="S106" s="43">
        <v>200</v>
      </c>
      <c r="T106" s="43">
        <v>300</v>
      </c>
      <c r="U106" s="43">
        <v>400</v>
      </c>
      <c r="V106" s="43">
        <v>500</v>
      </c>
      <c r="W106" s="43">
        <v>200</v>
      </c>
      <c r="X106" s="43">
        <v>100</v>
      </c>
      <c r="Y106" s="43">
        <v>100</v>
      </c>
      <c r="Z106" s="44"/>
      <c r="AA106" s="45"/>
      <c r="AB106" s="45"/>
      <c r="AC106" s="2"/>
      <c r="AD106" s="2"/>
      <c r="AE106" s="2"/>
      <c r="AF106" s="46">
        <f t="shared" si="3"/>
        <v>3100</v>
      </c>
      <c r="AG106" s="2"/>
    </row>
    <row r="107" spans="1:33" x14ac:dyDescent="0.45">
      <c r="A107" s="38" t="s">
        <v>80</v>
      </c>
      <c r="B107" s="2"/>
      <c r="C107" s="2"/>
      <c r="D107" s="2"/>
      <c r="E107" s="2"/>
      <c r="F107" s="2"/>
      <c r="G107" s="2"/>
      <c r="H107" s="2"/>
      <c r="I107" s="2"/>
      <c r="J107" s="2"/>
      <c r="K107" s="2"/>
      <c r="L107" s="45"/>
      <c r="M107" s="46"/>
      <c r="N107" s="43"/>
      <c r="O107" s="42">
        <v>10</v>
      </c>
      <c r="P107" s="42">
        <v>100</v>
      </c>
      <c r="Q107" s="42">
        <v>50</v>
      </c>
      <c r="R107" s="42">
        <v>100</v>
      </c>
      <c r="S107" s="43">
        <v>300</v>
      </c>
      <c r="T107" s="43">
        <v>300</v>
      </c>
      <c r="U107" s="43">
        <v>500</v>
      </c>
      <c r="V107" s="43">
        <v>800</v>
      </c>
      <c r="W107" s="43">
        <v>500</v>
      </c>
      <c r="X107" s="43">
        <v>200</v>
      </c>
      <c r="Y107" s="43">
        <v>200</v>
      </c>
      <c r="Z107" s="44"/>
      <c r="AA107" s="46"/>
      <c r="AB107" s="46"/>
      <c r="AC107" s="2"/>
      <c r="AD107" s="2"/>
      <c r="AE107" s="2"/>
      <c r="AF107" s="46">
        <f t="shared" si="3"/>
        <v>3060</v>
      </c>
      <c r="AG107" s="2"/>
    </row>
    <row r="108" spans="1:33" x14ac:dyDescent="0.45">
      <c r="A108" s="38" t="s">
        <v>14</v>
      </c>
      <c r="B108" s="2"/>
      <c r="C108" s="2"/>
      <c r="D108" s="2"/>
      <c r="E108" s="2"/>
      <c r="F108" s="2"/>
      <c r="G108" s="2"/>
      <c r="H108" s="2"/>
      <c r="I108" s="2"/>
      <c r="J108" s="2"/>
      <c r="K108" s="2"/>
      <c r="L108" s="43">
        <v>50</v>
      </c>
      <c r="M108" s="43">
        <v>10</v>
      </c>
      <c r="N108" s="43">
        <v>200</v>
      </c>
      <c r="O108" s="43">
        <v>200</v>
      </c>
      <c r="P108" s="42">
        <v>30</v>
      </c>
      <c r="Q108" s="42">
        <v>200</v>
      </c>
      <c r="R108" s="42">
        <v>1000</v>
      </c>
      <c r="S108" s="43">
        <v>75</v>
      </c>
      <c r="T108" s="43">
        <v>200</v>
      </c>
      <c r="U108" s="43">
        <v>100</v>
      </c>
      <c r="V108" s="43">
        <v>100</v>
      </c>
      <c r="W108" s="43">
        <v>80</v>
      </c>
      <c r="X108" s="42">
        <v>60</v>
      </c>
      <c r="Y108" s="42">
        <v>20</v>
      </c>
      <c r="Z108" s="44"/>
      <c r="AA108" s="42"/>
      <c r="AB108" s="42"/>
      <c r="AC108" s="2"/>
      <c r="AD108" s="2"/>
      <c r="AE108" s="2"/>
      <c r="AF108" s="46">
        <f t="shared" si="3"/>
        <v>2325</v>
      </c>
      <c r="AG108" s="2"/>
    </row>
    <row r="109" spans="1:33" x14ac:dyDescent="0.45">
      <c r="A109" s="38" t="s">
        <v>2</v>
      </c>
      <c r="B109" s="2"/>
      <c r="C109" s="2"/>
      <c r="D109" s="2"/>
      <c r="E109" s="2"/>
      <c r="F109" s="2"/>
      <c r="G109" s="2"/>
      <c r="H109" s="2"/>
      <c r="I109" s="2"/>
      <c r="J109" s="2"/>
      <c r="K109" s="2"/>
      <c r="L109" s="45"/>
      <c r="M109" s="43">
        <v>20</v>
      </c>
      <c r="N109" s="43">
        <v>300</v>
      </c>
      <c r="O109" s="42">
        <v>200</v>
      </c>
      <c r="P109" s="42">
        <v>200</v>
      </c>
      <c r="Q109" s="42">
        <v>500</v>
      </c>
      <c r="R109" s="42">
        <v>200</v>
      </c>
      <c r="S109" s="42">
        <v>250</v>
      </c>
      <c r="T109" s="43">
        <v>75</v>
      </c>
      <c r="U109" s="43">
        <v>75</v>
      </c>
      <c r="V109" s="43">
        <v>100</v>
      </c>
      <c r="W109" s="42">
        <v>50</v>
      </c>
      <c r="X109" s="42">
        <v>20</v>
      </c>
      <c r="Y109" s="42">
        <v>10</v>
      </c>
      <c r="Z109" s="44"/>
      <c r="AA109" s="42"/>
      <c r="AB109" s="42"/>
      <c r="AC109" s="2"/>
      <c r="AD109" s="2"/>
      <c r="AE109" s="2"/>
      <c r="AF109" s="46">
        <f t="shared" si="3"/>
        <v>2000</v>
      </c>
      <c r="AG109" s="2"/>
    </row>
    <row r="110" spans="1:33" x14ac:dyDescent="0.45">
      <c r="A110" s="38" t="s">
        <v>12</v>
      </c>
      <c r="B110" s="2"/>
      <c r="C110" s="2"/>
      <c r="D110" s="2"/>
      <c r="E110" s="2"/>
      <c r="F110" s="2"/>
      <c r="G110" s="2"/>
      <c r="H110" s="2"/>
      <c r="I110" s="2"/>
      <c r="J110" s="2"/>
      <c r="K110" s="2"/>
      <c r="L110" s="46"/>
      <c r="M110" s="43"/>
      <c r="N110" s="43"/>
      <c r="O110" s="45"/>
      <c r="P110" s="45"/>
      <c r="Q110" s="45"/>
      <c r="R110" s="45"/>
      <c r="S110" s="43">
        <v>7</v>
      </c>
      <c r="T110" s="43">
        <v>1</v>
      </c>
      <c r="U110" s="43">
        <v>50</v>
      </c>
      <c r="V110" s="43">
        <v>100</v>
      </c>
      <c r="W110" s="43">
        <v>2</v>
      </c>
      <c r="X110" s="43">
        <v>2</v>
      </c>
      <c r="Y110" s="43">
        <v>2</v>
      </c>
      <c r="Z110" s="44"/>
      <c r="AA110" s="47"/>
      <c r="AB110" s="47"/>
      <c r="AC110" s="2"/>
      <c r="AD110" s="2"/>
      <c r="AE110" s="2"/>
      <c r="AF110" s="46">
        <f t="shared" si="3"/>
        <v>164</v>
      </c>
      <c r="AG110" s="2"/>
    </row>
    <row r="111" spans="1:33" x14ac:dyDescent="0.45">
      <c r="A111" s="38" t="s">
        <v>1</v>
      </c>
      <c r="B111" s="2"/>
      <c r="C111" s="2"/>
      <c r="D111" s="2"/>
      <c r="E111" s="2"/>
      <c r="F111" s="2"/>
      <c r="G111" s="2"/>
      <c r="H111" s="2"/>
      <c r="I111" s="2"/>
      <c r="J111" s="2"/>
      <c r="K111" s="2"/>
      <c r="L111" s="46"/>
      <c r="M111" s="43"/>
      <c r="N111" s="43"/>
      <c r="O111" s="43">
        <v>7</v>
      </c>
      <c r="P111" s="43">
        <v>1</v>
      </c>
      <c r="Q111" s="43">
        <v>1</v>
      </c>
      <c r="R111" s="43">
        <v>1</v>
      </c>
      <c r="S111" s="43">
        <v>2</v>
      </c>
      <c r="T111" s="43">
        <v>6</v>
      </c>
      <c r="U111" s="43">
        <v>5</v>
      </c>
      <c r="V111" s="43">
        <v>10</v>
      </c>
      <c r="W111" s="43">
        <v>2</v>
      </c>
      <c r="X111" s="43">
        <v>3</v>
      </c>
      <c r="Y111" s="43">
        <v>2</v>
      </c>
      <c r="Z111" s="44"/>
      <c r="AA111" s="44"/>
      <c r="AB111" s="44"/>
      <c r="AC111" s="2"/>
      <c r="AD111" s="2"/>
      <c r="AE111" s="2"/>
      <c r="AF111" s="46">
        <f t="shared" si="3"/>
        <v>40</v>
      </c>
      <c r="AG111" s="2"/>
    </row>
    <row r="112" spans="1:33" x14ac:dyDescent="0.45">
      <c r="A112" s="38" t="s">
        <v>13</v>
      </c>
      <c r="B112" s="2"/>
      <c r="C112" s="2"/>
      <c r="D112" s="2"/>
      <c r="E112" s="2"/>
      <c r="F112" s="2"/>
      <c r="G112" s="2"/>
      <c r="H112" s="2"/>
      <c r="I112" s="2"/>
      <c r="J112" s="2"/>
      <c r="K112" s="2"/>
      <c r="L112" s="47"/>
      <c r="M112" s="42"/>
      <c r="N112" s="43"/>
      <c r="O112" s="43">
        <v>1</v>
      </c>
      <c r="P112" s="45"/>
      <c r="Q112" s="45"/>
      <c r="R112" s="45"/>
      <c r="S112" s="43">
        <v>1</v>
      </c>
      <c r="T112" s="43">
        <v>1</v>
      </c>
      <c r="U112" s="43">
        <v>2</v>
      </c>
      <c r="V112" s="43">
        <v>10</v>
      </c>
      <c r="W112" s="43">
        <v>1</v>
      </c>
      <c r="X112" s="45"/>
      <c r="Y112" s="45"/>
      <c r="Z112" s="44"/>
      <c r="AA112" s="44"/>
      <c r="AB112" s="44"/>
      <c r="AC112" s="2"/>
      <c r="AD112" s="2"/>
      <c r="AE112" s="2"/>
      <c r="AF112" s="46">
        <f t="shared" si="3"/>
        <v>16</v>
      </c>
      <c r="AG112" s="2"/>
    </row>
    <row r="113" spans="1:33" x14ac:dyDescent="0.45">
      <c r="A113" s="38" t="s">
        <v>44</v>
      </c>
      <c r="B113" s="2"/>
      <c r="C113" s="2"/>
      <c r="D113" s="2"/>
      <c r="E113" s="2"/>
      <c r="F113" s="2"/>
      <c r="G113" s="2"/>
      <c r="H113" s="2"/>
      <c r="I113" s="2"/>
      <c r="J113" s="2"/>
      <c r="K113" s="2"/>
      <c r="L113" s="46"/>
      <c r="M113" s="43"/>
      <c r="N113" s="43"/>
      <c r="O113" s="45"/>
      <c r="P113" s="45"/>
      <c r="Q113" s="45"/>
      <c r="R113" s="45"/>
      <c r="S113" s="45"/>
      <c r="T113" s="43">
        <v>3</v>
      </c>
      <c r="U113" s="43">
        <v>1</v>
      </c>
      <c r="V113" s="43">
        <v>1</v>
      </c>
      <c r="W113" s="45"/>
      <c r="X113" s="45"/>
      <c r="Y113" s="45"/>
      <c r="Z113" s="44"/>
      <c r="AA113" s="44"/>
      <c r="AB113" s="44"/>
      <c r="AC113" s="2"/>
      <c r="AD113" s="2"/>
      <c r="AE113" s="2"/>
      <c r="AF113" s="46">
        <f t="shared" si="3"/>
        <v>5</v>
      </c>
      <c r="AG113" s="2"/>
    </row>
    <row r="114" spans="1:33" x14ac:dyDescent="0.45">
      <c r="A114" s="38" t="s">
        <v>7</v>
      </c>
      <c r="B114" s="2"/>
      <c r="C114" s="2"/>
      <c r="D114" s="2"/>
      <c r="E114" s="2"/>
      <c r="F114" s="2"/>
      <c r="G114" s="2"/>
      <c r="H114" s="2"/>
      <c r="I114" s="2"/>
      <c r="J114" s="2"/>
      <c r="K114" s="2"/>
      <c r="L114" s="46"/>
      <c r="M114" s="43"/>
      <c r="N114" s="43"/>
      <c r="O114" s="48">
        <v>1</v>
      </c>
      <c r="P114" s="44"/>
      <c r="Q114" s="44"/>
      <c r="R114" s="44"/>
      <c r="S114" s="49">
        <v>1</v>
      </c>
      <c r="T114" s="44"/>
      <c r="U114" s="44"/>
      <c r="V114" s="44"/>
      <c r="W114" s="44"/>
      <c r="X114" s="44"/>
      <c r="Y114" s="44"/>
      <c r="Z114" s="44"/>
      <c r="AA114" s="44"/>
      <c r="AB114" s="44"/>
      <c r="AC114" s="2"/>
      <c r="AD114" s="2"/>
      <c r="AE114" s="2"/>
      <c r="AF114" s="46">
        <f t="shared" si="3"/>
        <v>2</v>
      </c>
      <c r="AG114" s="2"/>
    </row>
    <row r="115" spans="1:33" x14ac:dyDescent="0.45">
      <c r="A115" s="50" t="s">
        <v>24</v>
      </c>
      <c r="B115" s="2">
        <f>SUM(B104:B114)</f>
        <v>0</v>
      </c>
      <c r="C115" s="2">
        <f t="shared" ref="C115:AD115" si="4">SUM(C104:C114)</f>
        <v>0</v>
      </c>
      <c r="D115" s="2">
        <f t="shared" si="4"/>
        <v>0</v>
      </c>
      <c r="E115" s="2">
        <f t="shared" si="4"/>
        <v>0</v>
      </c>
      <c r="F115" s="2">
        <f t="shared" si="4"/>
        <v>0</v>
      </c>
      <c r="G115" s="2">
        <f t="shared" si="4"/>
        <v>0</v>
      </c>
      <c r="H115" s="2">
        <f t="shared" si="4"/>
        <v>0</v>
      </c>
      <c r="I115" s="2">
        <f t="shared" si="4"/>
        <v>0</v>
      </c>
      <c r="J115" s="2">
        <f t="shared" si="4"/>
        <v>0</v>
      </c>
      <c r="K115" s="44">
        <f t="shared" si="4"/>
        <v>0</v>
      </c>
      <c r="L115" s="44">
        <f t="shared" si="4"/>
        <v>300</v>
      </c>
      <c r="M115" s="44">
        <f t="shared" si="4"/>
        <v>205</v>
      </c>
      <c r="N115" s="44">
        <f t="shared" si="4"/>
        <v>2000</v>
      </c>
      <c r="O115" s="44">
        <f t="shared" si="4"/>
        <v>5619</v>
      </c>
      <c r="P115" s="44">
        <f t="shared" si="4"/>
        <v>6831</v>
      </c>
      <c r="Q115" s="44">
        <f t="shared" si="4"/>
        <v>8251</v>
      </c>
      <c r="R115" s="44">
        <f t="shared" si="4"/>
        <v>12601</v>
      </c>
      <c r="S115" s="44">
        <f t="shared" si="4"/>
        <v>5886</v>
      </c>
      <c r="T115" s="44">
        <f t="shared" si="4"/>
        <v>6886</v>
      </c>
      <c r="U115" s="44">
        <f t="shared" si="4"/>
        <v>9833</v>
      </c>
      <c r="V115" s="44">
        <f t="shared" si="4"/>
        <v>12121</v>
      </c>
      <c r="W115" s="44">
        <f t="shared" si="4"/>
        <v>9635</v>
      </c>
      <c r="X115" s="44">
        <f t="shared" si="4"/>
        <v>5885</v>
      </c>
      <c r="Y115" s="44">
        <f t="shared" si="4"/>
        <v>3434</v>
      </c>
      <c r="Z115" s="44">
        <f t="shared" si="4"/>
        <v>0</v>
      </c>
      <c r="AA115" s="44">
        <f t="shared" si="4"/>
        <v>0</v>
      </c>
      <c r="AB115" s="44">
        <f t="shared" si="4"/>
        <v>0</v>
      </c>
      <c r="AC115" s="44">
        <f t="shared" si="4"/>
        <v>0</v>
      </c>
      <c r="AD115" s="44">
        <f t="shared" si="4"/>
        <v>0</v>
      </c>
      <c r="AE115" s="44">
        <f>SUM(AE104:AE114)</f>
        <v>0</v>
      </c>
      <c r="AF115" s="44">
        <f>SUM(AF104:AF114)</f>
        <v>89487</v>
      </c>
      <c r="AG115" s="2"/>
    </row>
    <row r="116" spans="1:33" x14ac:dyDescent="0.4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1:33" x14ac:dyDescent="0.45">
      <c r="A117" s="51">
        <v>1989</v>
      </c>
      <c r="B117" s="38"/>
      <c r="C117" s="40"/>
      <c r="D117" s="5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1:33" x14ac:dyDescent="0.45">
      <c r="A118" s="37" t="s">
        <v>78</v>
      </c>
      <c r="B118" s="38"/>
      <c r="C118" s="40"/>
      <c r="D118" s="5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1:33" x14ac:dyDescent="0.45">
      <c r="A119" s="2"/>
      <c r="B119" s="39">
        <v>32620</v>
      </c>
      <c r="C119" s="39">
        <v>32621</v>
      </c>
      <c r="D119" s="39">
        <v>32622</v>
      </c>
      <c r="E119" s="39">
        <v>32623</v>
      </c>
      <c r="F119" s="39">
        <v>32624</v>
      </c>
      <c r="G119" s="39">
        <v>32625</v>
      </c>
      <c r="H119" s="40">
        <v>32626</v>
      </c>
      <c r="I119" s="40">
        <v>32627</v>
      </c>
      <c r="J119" s="40">
        <v>32628</v>
      </c>
      <c r="K119" s="40">
        <v>32629</v>
      </c>
      <c r="L119" s="40">
        <v>32630</v>
      </c>
      <c r="M119" s="40">
        <v>32631</v>
      </c>
      <c r="N119" s="40">
        <v>32632</v>
      </c>
      <c r="O119" s="40">
        <v>32633</v>
      </c>
      <c r="P119" s="40">
        <v>32634</v>
      </c>
      <c r="Q119" s="40">
        <v>32635</v>
      </c>
      <c r="R119" s="40">
        <v>32636</v>
      </c>
      <c r="S119" s="40">
        <v>32637</v>
      </c>
      <c r="T119" s="40">
        <v>32638</v>
      </c>
      <c r="U119" s="40">
        <v>32639</v>
      </c>
      <c r="V119" s="40">
        <v>32640</v>
      </c>
      <c r="W119" s="40">
        <v>32641</v>
      </c>
      <c r="X119" s="40">
        <v>32642</v>
      </c>
      <c r="Y119" s="40">
        <v>32643</v>
      </c>
      <c r="Z119" s="40">
        <v>32644</v>
      </c>
      <c r="AA119" s="40">
        <v>32645</v>
      </c>
      <c r="AB119" s="40">
        <v>32646</v>
      </c>
      <c r="AC119" s="39">
        <v>32647</v>
      </c>
      <c r="AD119" s="39">
        <v>32648</v>
      </c>
      <c r="AE119" s="39">
        <v>32649</v>
      </c>
      <c r="AF119" s="53" t="s">
        <v>24</v>
      </c>
      <c r="AG119" s="2"/>
    </row>
    <row r="120" spans="1:33" x14ac:dyDescent="0.45">
      <c r="A120" s="38" t="s">
        <v>11</v>
      </c>
      <c r="B120" s="44"/>
      <c r="C120" s="44"/>
      <c r="D120" s="44"/>
      <c r="E120" s="44"/>
      <c r="F120" s="44"/>
      <c r="G120" s="44"/>
      <c r="H120" s="47"/>
      <c r="I120" s="42">
        <v>150</v>
      </c>
      <c r="J120" s="42">
        <v>1200</v>
      </c>
      <c r="K120" s="42">
        <v>1000</v>
      </c>
      <c r="L120" s="42">
        <v>1200</v>
      </c>
      <c r="M120" s="42">
        <v>1000</v>
      </c>
      <c r="N120" s="42">
        <v>2500</v>
      </c>
      <c r="O120" s="42">
        <v>3000</v>
      </c>
      <c r="P120" s="42">
        <v>500</v>
      </c>
      <c r="Q120" s="42">
        <v>1500</v>
      </c>
      <c r="R120" s="42">
        <v>5000</v>
      </c>
      <c r="S120" s="43">
        <v>7000</v>
      </c>
      <c r="T120" s="43">
        <v>9000</v>
      </c>
      <c r="U120" s="43">
        <v>10000</v>
      </c>
      <c r="V120" s="42">
        <v>8000</v>
      </c>
      <c r="W120" s="42">
        <v>2000</v>
      </c>
      <c r="X120" s="42">
        <v>1800</v>
      </c>
      <c r="Y120" s="42">
        <v>1000</v>
      </c>
      <c r="Z120" s="42">
        <v>500</v>
      </c>
      <c r="AA120" s="42">
        <v>900</v>
      </c>
      <c r="AB120" s="42">
        <v>750</v>
      </c>
      <c r="AC120" s="2"/>
      <c r="AD120" s="2"/>
      <c r="AE120" s="42">
        <v>25</v>
      </c>
      <c r="AF120" s="46">
        <f t="shared" ref="AF120:AF133" si="5">SUM(B120:AE120)</f>
        <v>58025</v>
      </c>
      <c r="AG120" s="2"/>
    </row>
    <row r="121" spans="1:33" x14ac:dyDescent="0.45">
      <c r="A121" s="38" t="s">
        <v>14</v>
      </c>
      <c r="B121" s="44"/>
      <c r="C121" s="44"/>
      <c r="D121" s="44"/>
      <c r="E121" s="44"/>
      <c r="F121" s="44"/>
      <c r="G121" s="44"/>
      <c r="H121" s="47"/>
      <c r="I121" s="42">
        <v>10</v>
      </c>
      <c r="J121" s="42">
        <v>5</v>
      </c>
      <c r="K121" s="42">
        <v>10</v>
      </c>
      <c r="L121" s="42">
        <v>150</v>
      </c>
      <c r="M121" s="42">
        <v>100</v>
      </c>
      <c r="N121" s="42">
        <v>200</v>
      </c>
      <c r="O121" s="42">
        <v>500</v>
      </c>
      <c r="P121" s="42">
        <v>50</v>
      </c>
      <c r="Q121" s="43">
        <v>250</v>
      </c>
      <c r="R121" s="42">
        <v>500</v>
      </c>
      <c r="S121" s="42">
        <v>1000</v>
      </c>
      <c r="T121" s="42">
        <v>1000</v>
      </c>
      <c r="U121" s="42">
        <v>1500</v>
      </c>
      <c r="V121" s="42">
        <v>800</v>
      </c>
      <c r="W121" s="42">
        <v>200</v>
      </c>
      <c r="X121" s="42">
        <v>150</v>
      </c>
      <c r="Y121" s="42">
        <v>100</v>
      </c>
      <c r="Z121" s="42">
        <v>200</v>
      </c>
      <c r="AA121" s="42">
        <v>300</v>
      </c>
      <c r="AB121" s="42">
        <v>250</v>
      </c>
      <c r="AC121" s="2"/>
      <c r="AD121" s="2"/>
      <c r="AE121" s="2"/>
      <c r="AF121" s="46">
        <f t="shared" si="5"/>
        <v>7275</v>
      </c>
      <c r="AG121" s="2"/>
    </row>
    <row r="122" spans="1:33" x14ac:dyDescent="0.45">
      <c r="A122" s="38" t="s">
        <v>15</v>
      </c>
      <c r="B122" s="44"/>
      <c r="C122" s="44"/>
      <c r="D122" s="44"/>
      <c r="E122" s="44"/>
      <c r="F122" s="44"/>
      <c r="G122" s="44"/>
      <c r="H122" s="47"/>
      <c r="I122" s="43"/>
      <c r="J122" s="44"/>
      <c r="K122" s="45"/>
      <c r="L122" s="44"/>
      <c r="M122" s="44"/>
      <c r="N122" s="44"/>
      <c r="O122" s="44"/>
      <c r="P122" s="45"/>
      <c r="Q122" s="42">
        <v>150</v>
      </c>
      <c r="R122" s="42">
        <v>400</v>
      </c>
      <c r="S122" s="43">
        <v>500</v>
      </c>
      <c r="T122" s="43">
        <v>500</v>
      </c>
      <c r="U122" s="42">
        <v>500</v>
      </c>
      <c r="V122" s="42">
        <v>200</v>
      </c>
      <c r="W122" s="42">
        <v>100</v>
      </c>
      <c r="X122" s="43">
        <v>100</v>
      </c>
      <c r="Y122" s="43">
        <v>50</v>
      </c>
      <c r="Z122" s="43">
        <v>25</v>
      </c>
      <c r="AA122" s="43">
        <v>5</v>
      </c>
      <c r="AB122" s="43">
        <v>75</v>
      </c>
      <c r="AC122" s="2"/>
      <c r="AD122" s="2"/>
      <c r="AE122" s="2"/>
      <c r="AF122" s="46">
        <f t="shared" si="5"/>
        <v>2605</v>
      </c>
      <c r="AG122" s="2"/>
    </row>
    <row r="123" spans="1:33" x14ac:dyDescent="0.45">
      <c r="A123" s="38" t="s">
        <v>79</v>
      </c>
      <c r="B123" s="44"/>
      <c r="C123" s="44"/>
      <c r="D123" s="44"/>
      <c r="E123" s="44"/>
      <c r="F123" s="44"/>
      <c r="G123" s="44"/>
      <c r="H123" s="43">
        <v>200</v>
      </c>
      <c r="I123" s="43"/>
      <c r="J123" s="44"/>
      <c r="K123" s="44"/>
      <c r="L123" s="44"/>
      <c r="M123" s="44"/>
      <c r="N123" s="44"/>
      <c r="O123" s="44"/>
      <c r="P123" s="42">
        <v>50</v>
      </c>
      <c r="Q123" s="42">
        <v>100</v>
      </c>
      <c r="R123" s="44"/>
      <c r="S123" s="43">
        <v>50</v>
      </c>
      <c r="T123" s="42">
        <v>5</v>
      </c>
      <c r="U123" s="45"/>
      <c r="V123" s="44"/>
      <c r="W123" s="44"/>
      <c r="X123" s="42">
        <v>700</v>
      </c>
      <c r="Y123" s="42">
        <v>100</v>
      </c>
      <c r="Z123" s="42">
        <v>25</v>
      </c>
      <c r="AA123" s="42">
        <v>50</v>
      </c>
      <c r="AB123" s="42">
        <v>75</v>
      </c>
      <c r="AC123" s="2"/>
      <c r="AD123" s="2"/>
      <c r="AE123" s="2"/>
      <c r="AF123" s="46">
        <f t="shared" si="5"/>
        <v>1355</v>
      </c>
      <c r="AG123" s="2"/>
    </row>
    <row r="124" spans="1:33" x14ac:dyDescent="0.45">
      <c r="A124" s="38" t="s">
        <v>80</v>
      </c>
      <c r="B124" s="44"/>
      <c r="C124" s="44"/>
      <c r="D124" s="44"/>
      <c r="E124" s="44"/>
      <c r="F124" s="44"/>
      <c r="G124" s="44"/>
      <c r="H124" s="45"/>
      <c r="I124" s="43"/>
      <c r="J124" s="45"/>
      <c r="K124" s="43">
        <v>1</v>
      </c>
      <c r="L124" s="45"/>
      <c r="M124" s="45"/>
      <c r="N124" s="45"/>
      <c r="O124" s="45"/>
      <c r="P124" s="43">
        <v>250</v>
      </c>
      <c r="Q124" s="45"/>
      <c r="R124" s="45"/>
      <c r="S124" s="43">
        <v>100</v>
      </c>
      <c r="T124" s="43">
        <v>2</v>
      </c>
      <c r="U124" s="45"/>
      <c r="V124" s="45"/>
      <c r="W124" s="45"/>
      <c r="X124" s="43">
        <v>500</v>
      </c>
      <c r="Y124" s="43">
        <v>250</v>
      </c>
      <c r="Z124" s="43">
        <v>200</v>
      </c>
      <c r="AA124" s="43">
        <v>10</v>
      </c>
      <c r="AB124" s="43">
        <v>25</v>
      </c>
      <c r="AC124" s="2"/>
      <c r="AD124" s="2"/>
      <c r="AE124" s="2"/>
      <c r="AF124" s="46">
        <f t="shared" si="5"/>
        <v>1338</v>
      </c>
      <c r="AG124" s="2"/>
    </row>
    <row r="125" spans="1:33" x14ac:dyDescent="0.45">
      <c r="A125" s="38" t="s">
        <v>12</v>
      </c>
      <c r="B125" s="44"/>
      <c r="C125" s="44"/>
      <c r="D125" s="44"/>
      <c r="E125" s="44"/>
      <c r="F125" s="44"/>
      <c r="G125" s="44"/>
      <c r="H125" s="46"/>
      <c r="I125" s="43"/>
      <c r="J125" s="43"/>
      <c r="K125" s="43"/>
      <c r="L125" s="43"/>
      <c r="M125" s="43"/>
      <c r="N125" s="43"/>
      <c r="O125" s="43"/>
      <c r="P125" s="43"/>
      <c r="Q125" s="43">
        <v>10</v>
      </c>
      <c r="R125" s="43">
        <v>50</v>
      </c>
      <c r="S125" s="43">
        <v>20</v>
      </c>
      <c r="T125" s="43"/>
      <c r="U125" s="43"/>
      <c r="V125" s="43"/>
      <c r="W125" s="43"/>
      <c r="X125" s="43"/>
      <c r="Y125" s="43"/>
      <c r="Z125" s="43"/>
      <c r="AA125" s="43"/>
      <c r="AB125" s="43"/>
      <c r="AC125" s="2"/>
      <c r="AD125" s="2"/>
      <c r="AE125" s="2"/>
      <c r="AF125" s="46">
        <f t="shared" si="5"/>
        <v>80</v>
      </c>
      <c r="AG125" s="2"/>
    </row>
    <row r="126" spans="1:33" x14ac:dyDescent="0.45">
      <c r="A126" s="38" t="s">
        <v>45</v>
      </c>
      <c r="B126" s="44"/>
      <c r="C126" s="44"/>
      <c r="D126" s="44"/>
      <c r="E126" s="44"/>
      <c r="F126" s="44"/>
      <c r="G126" s="44"/>
      <c r="H126" s="45"/>
      <c r="I126" s="44"/>
      <c r="J126" s="44"/>
      <c r="K126" s="44"/>
      <c r="L126" s="44"/>
      <c r="M126" s="44"/>
      <c r="N126" s="44"/>
      <c r="O126" s="44"/>
      <c r="P126" s="45"/>
      <c r="Q126" s="44"/>
      <c r="R126" s="44"/>
      <c r="S126" s="42">
        <v>20</v>
      </c>
      <c r="T126" s="42">
        <v>2</v>
      </c>
      <c r="U126" s="43">
        <v>8</v>
      </c>
      <c r="V126" s="44"/>
      <c r="W126" s="44"/>
      <c r="X126" s="44"/>
      <c r="Y126" s="44"/>
      <c r="Z126" s="44"/>
      <c r="AA126" s="44"/>
      <c r="AB126" s="44"/>
      <c r="AC126" s="2"/>
      <c r="AD126" s="2"/>
      <c r="AE126" s="2"/>
      <c r="AF126" s="46">
        <f t="shared" si="5"/>
        <v>30</v>
      </c>
      <c r="AG126" s="2"/>
    </row>
    <row r="127" spans="1:33" x14ac:dyDescent="0.45">
      <c r="A127" s="38" t="s">
        <v>1</v>
      </c>
      <c r="B127" s="44"/>
      <c r="C127" s="44"/>
      <c r="D127" s="44"/>
      <c r="E127" s="44"/>
      <c r="F127" s="44"/>
      <c r="G127" s="44"/>
      <c r="H127" s="46"/>
      <c r="I127" s="43"/>
      <c r="J127" s="44"/>
      <c r="K127" s="44"/>
      <c r="L127" s="44"/>
      <c r="M127" s="45"/>
      <c r="N127" s="45"/>
      <c r="O127" s="45"/>
      <c r="P127" s="45"/>
      <c r="Q127" s="45"/>
      <c r="R127" s="43">
        <v>25</v>
      </c>
      <c r="S127" s="43">
        <v>5</v>
      </c>
      <c r="T127" s="44"/>
      <c r="U127" s="44"/>
      <c r="V127" s="44"/>
      <c r="W127" s="44"/>
      <c r="X127" s="44"/>
      <c r="Y127" s="44"/>
      <c r="Z127" s="44"/>
      <c r="AA127" s="44"/>
      <c r="AB127" s="45"/>
      <c r="AC127" s="2"/>
      <c r="AD127" s="2"/>
      <c r="AE127" s="2"/>
      <c r="AF127" s="46">
        <f t="shared" si="5"/>
        <v>30</v>
      </c>
      <c r="AG127" s="2"/>
    </row>
    <row r="128" spans="1:33" x14ac:dyDescent="0.45">
      <c r="A128" s="38" t="s">
        <v>7</v>
      </c>
      <c r="B128" s="44"/>
      <c r="C128" s="44"/>
      <c r="D128" s="44"/>
      <c r="E128" s="44"/>
      <c r="F128" s="44"/>
      <c r="G128" s="44"/>
      <c r="H128" s="46"/>
      <c r="I128" s="43"/>
      <c r="J128" s="42"/>
      <c r="K128" s="44"/>
      <c r="L128" s="44"/>
      <c r="M128" s="44"/>
      <c r="N128" s="44"/>
      <c r="O128" s="44"/>
      <c r="P128" s="44"/>
      <c r="Q128" s="44"/>
      <c r="R128" s="43">
        <v>3</v>
      </c>
      <c r="S128" s="43">
        <v>1</v>
      </c>
      <c r="T128" s="42">
        <v>4</v>
      </c>
      <c r="U128" s="44"/>
      <c r="V128" s="44"/>
      <c r="W128" s="44"/>
      <c r="X128" s="44"/>
      <c r="Y128" s="44"/>
      <c r="Z128" s="44"/>
      <c r="AA128" s="42">
        <v>1</v>
      </c>
      <c r="AB128" s="44"/>
      <c r="AC128" s="2"/>
      <c r="AD128" s="2"/>
      <c r="AE128" s="2"/>
      <c r="AF128" s="46">
        <f t="shared" si="5"/>
        <v>9</v>
      </c>
      <c r="AG128" s="2"/>
    </row>
    <row r="129" spans="1:33" x14ac:dyDescent="0.45">
      <c r="A129" s="38" t="s">
        <v>2</v>
      </c>
      <c r="B129" s="44"/>
      <c r="C129" s="44"/>
      <c r="D129" s="44"/>
      <c r="E129" s="44"/>
      <c r="F129" s="44"/>
      <c r="G129" s="44"/>
      <c r="H129" s="46"/>
      <c r="I129" s="43">
        <v>1</v>
      </c>
      <c r="J129" s="44"/>
      <c r="K129" s="44"/>
      <c r="L129" s="44"/>
      <c r="M129" s="44"/>
      <c r="N129" s="44"/>
      <c r="O129" s="44"/>
      <c r="P129" s="44"/>
      <c r="Q129" s="45"/>
      <c r="R129" s="45"/>
      <c r="S129" s="43">
        <v>5</v>
      </c>
      <c r="T129" s="45"/>
      <c r="U129" s="43">
        <v>1</v>
      </c>
      <c r="V129" s="45"/>
      <c r="W129" s="45"/>
      <c r="X129" s="45"/>
      <c r="Y129" s="45"/>
      <c r="Z129" s="45"/>
      <c r="AA129" s="45"/>
      <c r="AB129" s="45"/>
      <c r="AC129" s="2"/>
      <c r="AD129" s="2"/>
      <c r="AE129" s="2"/>
      <c r="AF129" s="46">
        <f t="shared" si="5"/>
        <v>7</v>
      </c>
      <c r="AG129" s="2"/>
    </row>
    <row r="130" spans="1:33" x14ac:dyDescent="0.45">
      <c r="A130" s="38" t="s">
        <v>42</v>
      </c>
      <c r="B130" s="44"/>
      <c r="C130" s="44"/>
      <c r="D130" s="44"/>
      <c r="E130" s="44"/>
      <c r="F130" s="44"/>
      <c r="G130" s="44"/>
      <c r="H130" s="46"/>
      <c r="I130" s="45"/>
      <c r="J130" s="44"/>
      <c r="K130" s="44"/>
      <c r="L130" s="44"/>
      <c r="M130" s="44"/>
      <c r="N130" s="44"/>
      <c r="O130" s="44"/>
      <c r="P130" s="43">
        <v>3</v>
      </c>
      <c r="Q130" s="45"/>
      <c r="R130" s="44"/>
      <c r="S130" s="45"/>
      <c r="T130" s="45"/>
      <c r="U130" s="42">
        <v>1</v>
      </c>
      <c r="V130" s="44"/>
      <c r="W130" s="44"/>
      <c r="X130" s="45"/>
      <c r="Y130" s="45"/>
      <c r="Z130" s="45"/>
      <c r="AA130" s="45"/>
      <c r="AB130" s="45"/>
      <c r="AC130" s="2"/>
      <c r="AD130" s="2"/>
      <c r="AE130" s="2"/>
      <c r="AF130" s="46">
        <f t="shared" si="5"/>
        <v>4</v>
      </c>
      <c r="AG130" s="2"/>
    </row>
    <row r="131" spans="1:33" x14ac:dyDescent="0.45">
      <c r="A131" s="38" t="s">
        <v>44</v>
      </c>
      <c r="B131" s="44"/>
      <c r="C131" s="44"/>
      <c r="D131" s="44"/>
      <c r="E131" s="44"/>
      <c r="F131" s="44"/>
      <c r="G131" s="44"/>
      <c r="H131" s="46"/>
      <c r="I131" s="43"/>
      <c r="J131" s="45"/>
      <c r="K131" s="44"/>
      <c r="L131" s="44"/>
      <c r="M131" s="42"/>
      <c r="N131" s="42"/>
      <c r="O131" s="42"/>
      <c r="P131" s="42"/>
      <c r="Q131" s="42">
        <v>1</v>
      </c>
      <c r="R131" s="42">
        <v>1</v>
      </c>
      <c r="S131" s="42"/>
      <c r="T131" s="44"/>
      <c r="U131" s="44"/>
      <c r="V131" s="44"/>
      <c r="W131" s="44"/>
      <c r="X131" s="44"/>
      <c r="Y131" s="44"/>
      <c r="Z131" s="44"/>
      <c r="AA131" s="44"/>
      <c r="AB131" s="42">
        <v>1</v>
      </c>
      <c r="AC131" s="2"/>
      <c r="AD131" s="2"/>
      <c r="AE131" s="2"/>
      <c r="AF131" s="46">
        <f t="shared" si="5"/>
        <v>3</v>
      </c>
      <c r="AG131" s="2"/>
    </row>
    <row r="132" spans="1:33" x14ac:dyDescent="0.45">
      <c r="A132" s="38" t="s">
        <v>52</v>
      </c>
      <c r="B132" s="44"/>
      <c r="C132" s="44"/>
      <c r="D132" s="44"/>
      <c r="E132" s="44"/>
      <c r="F132" s="44"/>
      <c r="G132" s="44"/>
      <c r="H132" s="45"/>
      <c r="I132" s="45"/>
      <c r="J132" s="45"/>
      <c r="K132" s="45"/>
      <c r="L132" s="45"/>
      <c r="M132" s="45"/>
      <c r="N132" s="45"/>
      <c r="O132" s="45"/>
      <c r="P132" s="45"/>
      <c r="Q132" s="43">
        <v>1</v>
      </c>
      <c r="R132" s="45"/>
      <c r="S132" s="45"/>
      <c r="T132" s="45"/>
      <c r="U132" s="45"/>
      <c r="V132" s="45"/>
      <c r="W132" s="45"/>
      <c r="X132" s="45"/>
      <c r="Y132" s="45"/>
      <c r="Z132" s="45"/>
      <c r="AA132" s="45"/>
      <c r="AB132" s="45"/>
      <c r="AC132" s="2"/>
      <c r="AD132" s="2"/>
      <c r="AE132" s="2"/>
      <c r="AF132" s="46">
        <f t="shared" si="5"/>
        <v>1</v>
      </c>
      <c r="AG132" s="2"/>
    </row>
    <row r="133" spans="1:33" x14ac:dyDescent="0.45">
      <c r="A133" s="54" t="s">
        <v>24</v>
      </c>
      <c r="B133" s="44">
        <f>SUM(B120:B132)</f>
        <v>0</v>
      </c>
      <c r="C133" s="44">
        <f t="shared" ref="C133:AE133" si="6">SUM(C120:C132)</f>
        <v>0</v>
      </c>
      <c r="D133" s="44">
        <f t="shared" si="6"/>
        <v>0</v>
      </c>
      <c r="E133" s="44">
        <f t="shared" si="6"/>
        <v>0</v>
      </c>
      <c r="F133" s="44">
        <f t="shared" si="6"/>
        <v>0</v>
      </c>
      <c r="G133" s="44">
        <f t="shared" si="6"/>
        <v>0</v>
      </c>
      <c r="H133" s="44">
        <f t="shared" si="6"/>
        <v>200</v>
      </c>
      <c r="I133" s="44">
        <f t="shared" si="6"/>
        <v>161</v>
      </c>
      <c r="J133" s="44">
        <f t="shared" si="6"/>
        <v>1205</v>
      </c>
      <c r="K133" s="44">
        <f t="shared" si="6"/>
        <v>1011</v>
      </c>
      <c r="L133" s="44">
        <f t="shared" si="6"/>
        <v>1350</v>
      </c>
      <c r="M133" s="44">
        <f t="shared" si="6"/>
        <v>1100</v>
      </c>
      <c r="N133" s="44">
        <f t="shared" si="6"/>
        <v>2700</v>
      </c>
      <c r="O133" s="44">
        <f t="shared" si="6"/>
        <v>3500</v>
      </c>
      <c r="P133" s="44">
        <f t="shared" si="6"/>
        <v>853</v>
      </c>
      <c r="Q133" s="44">
        <f t="shared" si="6"/>
        <v>2012</v>
      </c>
      <c r="R133" s="44">
        <f t="shared" si="6"/>
        <v>5979</v>
      </c>
      <c r="S133" s="44">
        <f t="shared" si="6"/>
        <v>8701</v>
      </c>
      <c r="T133" s="44">
        <f t="shared" si="6"/>
        <v>10513</v>
      </c>
      <c r="U133" s="44">
        <f t="shared" si="6"/>
        <v>12010</v>
      </c>
      <c r="V133" s="44">
        <f t="shared" si="6"/>
        <v>9000</v>
      </c>
      <c r="W133" s="44">
        <f t="shared" si="6"/>
        <v>2300</v>
      </c>
      <c r="X133" s="44">
        <f t="shared" si="6"/>
        <v>3250</v>
      </c>
      <c r="Y133" s="44">
        <f t="shared" si="6"/>
        <v>1500</v>
      </c>
      <c r="Z133" s="44">
        <f t="shared" si="6"/>
        <v>950</v>
      </c>
      <c r="AA133" s="44">
        <f t="shared" si="6"/>
        <v>1266</v>
      </c>
      <c r="AB133" s="44">
        <f t="shared" si="6"/>
        <v>1176</v>
      </c>
      <c r="AC133" s="44">
        <f t="shared" si="6"/>
        <v>0</v>
      </c>
      <c r="AD133" s="44">
        <f t="shared" si="6"/>
        <v>0</v>
      </c>
      <c r="AE133" s="44">
        <f t="shared" si="6"/>
        <v>25</v>
      </c>
      <c r="AF133" s="46">
        <f t="shared" si="5"/>
        <v>70762</v>
      </c>
      <c r="AG133" s="2"/>
    </row>
    <row r="134" spans="1:33" x14ac:dyDescent="0.45">
      <c r="A134" s="38"/>
      <c r="B134" s="38"/>
      <c r="C134" s="40"/>
      <c r="D134" s="5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1:33" x14ac:dyDescent="0.45">
      <c r="A135" s="38"/>
      <c r="B135" s="38"/>
      <c r="C135" s="40"/>
      <c r="D135" s="52"/>
      <c r="E135" s="2"/>
      <c r="F135" s="40"/>
      <c r="G135" s="40"/>
      <c r="H135" s="40"/>
      <c r="I135" s="40"/>
      <c r="J135" s="40"/>
      <c r="K135" s="40"/>
      <c r="L135" s="2"/>
      <c r="M135" s="2"/>
      <c r="N135" s="2"/>
      <c r="O135" s="2"/>
      <c r="P135" s="2"/>
      <c r="Q135" s="2"/>
      <c r="R135" s="2"/>
      <c r="S135" s="2"/>
      <c r="T135" s="2"/>
      <c r="U135" s="2"/>
      <c r="V135" s="2"/>
      <c r="W135" s="2"/>
      <c r="X135" s="2"/>
      <c r="Y135" s="2"/>
      <c r="Z135" s="2"/>
      <c r="AA135" s="2"/>
      <c r="AB135" s="2"/>
      <c r="AC135" s="2"/>
      <c r="AD135" s="2"/>
      <c r="AE135" s="2"/>
      <c r="AF135" s="2"/>
      <c r="AG135" s="2"/>
    </row>
    <row r="136" spans="1:33" x14ac:dyDescent="0.45">
      <c r="A136" s="51">
        <v>1990</v>
      </c>
      <c r="B136" s="38"/>
      <c r="C136" s="40"/>
      <c r="D136" s="5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x14ac:dyDescent="0.45">
      <c r="A137" s="37" t="s">
        <v>78</v>
      </c>
      <c r="B137" s="38"/>
      <c r="C137" s="40"/>
      <c r="D137" s="5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1:33" x14ac:dyDescent="0.45">
      <c r="A138" s="38"/>
      <c r="B138" s="39">
        <v>32985</v>
      </c>
      <c r="C138" s="39">
        <v>32986</v>
      </c>
      <c r="D138" s="39">
        <v>32987</v>
      </c>
      <c r="E138" s="39">
        <v>32988</v>
      </c>
      <c r="F138" s="39">
        <v>32989</v>
      </c>
      <c r="G138" s="39">
        <v>32990</v>
      </c>
      <c r="H138" s="40">
        <v>32991</v>
      </c>
      <c r="I138" s="40">
        <v>32992</v>
      </c>
      <c r="J138" s="40">
        <v>32993</v>
      </c>
      <c r="K138" s="40">
        <v>32994</v>
      </c>
      <c r="L138" s="40">
        <v>32995</v>
      </c>
      <c r="M138" s="40">
        <v>32996</v>
      </c>
      <c r="N138" s="40">
        <v>32997</v>
      </c>
      <c r="O138" s="40">
        <v>32998</v>
      </c>
      <c r="P138" s="40">
        <v>32999</v>
      </c>
      <c r="Q138" s="40">
        <v>33000</v>
      </c>
      <c r="R138" s="40">
        <v>33001</v>
      </c>
      <c r="S138" s="40">
        <v>33002</v>
      </c>
      <c r="T138" s="40">
        <v>33003</v>
      </c>
      <c r="U138" s="40">
        <v>33004</v>
      </c>
      <c r="V138" s="40">
        <v>33005</v>
      </c>
      <c r="W138" s="40">
        <v>33006</v>
      </c>
      <c r="X138" s="40">
        <v>33007</v>
      </c>
      <c r="Y138" s="40">
        <v>33008</v>
      </c>
      <c r="Z138" s="40">
        <v>33009</v>
      </c>
      <c r="AA138" s="40">
        <v>33010</v>
      </c>
      <c r="AB138" s="40">
        <v>33011</v>
      </c>
      <c r="AC138" s="39">
        <v>33012</v>
      </c>
      <c r="AD138" s="39">
        <v>33013</v>
      </c>
      <c r="AE138" s="39">
        <v>33014</v>
      </c>
      <c r="AF138" s="55" t="s">
        <v>24</v>
      </c>
      <c r="AG138" s="2"/>
    </row>
    <row r="139" spans="1:33" x14ac:dyDescent="0.45">
      <c r="A139" s="38" t="s">
        <v>11</v>
      </c>
      <c r="B139" s="44"/>
      <c r="C139" s="44"/>
      <c r="D139" s="44"/>
      <c r="E139" s="44"/>
      <c r="F139" s="44"/>
      <c r="G139" s="44"/>
      <c r="H139" s="46"/>
      <c r="I139" s="43"/>
      <c r="J139" s="43"/>
      <c r="K139" s="42">
        <v>190</v>
      </c>
      <c r="L139" s="42">
        <v>500</v>
      </c>
      <c r="M139" s="42">
        <v>725</v>
      </c>
      <c r="N139" s="42">
        <v>1375</v>
      </c>
      <c r="O139" s="42">
        <v>4190</v>
      </c>
      <c r="P139" s="42">
        <v>950</v>
      </c>
      <c r="Q139" s="42">
        <v>985</v>
      </c>
      <c r="R139" s="42">
        <v>650</v>
      </c>
      <c r="S139" s="42">
        <v>350</v>
      </c>
      <c r="T139" s="42">
        <v>4520</v>
      </c>
      <c r="U139" s="42">
        <v>370</v>
      </c>
      <c r="V139" s="42">
        <v>4260</v>
      </c>
      <c r="W139" s="42">
        <v>4200</v>
      </c>
      <c r="X139" s="42">
        <v>4060</v>
      </c>
      <c r="Y139" s="42">
        <v>1430</v>
      </c>
      <c r="Z139" s="42">
        <v>500</v>
      </c>
      <c r="AA139" s="42">
        <v>290</v>
      </c>
      <c r="AB139" s="42">
        <v>200</v>
      </c>
      <c r="AC139" s="2"/>
      <c r="AD139" s="2"/>
      <c r="AE139" s="2"/>
      <c r="AF139" s="46">
        <f t="shared" ref="AF139:AF150" si="7">SUM(B139:AE139)</f>
        <v>29745</v>
      </c>
      <c r="AG139" s="2"/>
    </row>
    <row r="140" spans="1:33" x14ac:dyDescent="0.45">
      <c r="A140" s="38" t="s">
        <v>79</v>
      </c>
      <c r="B140" s="44"/>
      <c r="C140" s="44"/>
      <c r="D140" s="44"/>
      <c r="E140" s="44"/>
      <c r="F140" s="44"/>
      <c r="G140" s="44"/>
      <c r="H140" s="43">
        <v>110</v>
      </c>
      <c r="I140" s="43">
        <v>250</v>
      </c>
      <c r="J140" s="43"/>
      <c r="K140" s="42">
        <v>75</v>
      </c>
      <c r="L140" s="42">
        <v>15</v>
      </c>
      <c r="M140" s="42">
        <v>50</v>
      </c>
      <c r="N140" s="43">
        <v>120</v>
      </c>
      <c r="O140" s="43">
        <v>205</v>
      </c>
      <c r="P140" s="43">
        <v>1690</v>
      </c>
      <c r="Q140" s="43">
        <v>1235</v>
      </c>
      <c r="R140" s="43">
        <v>1500</v>
      </c>
      <c r="S140" s="43">
        <v>2500</v>
      </c>
      <c r="T140" s="43">
        <v>3075</v>
      </c>
      <c r="U140" s="43">
        <v>1200</v>
      </c>
      <c r="V140" s="43">
        <v>1250</v>
      </c>
      <c r="W140" s="43">
        <v>1100</v>
      </c>
      <c r="X140" s="43">
        <v>1020</v>
      </c>
      <c r="Y140" s="43">
        <v>1000</v>
      </c>
      <c r="Z140" s="43">
        <v>50</v>
      </c>
      <c r="AA140" s="45"/>
      <c r="AB140" s="43">
        <v>4</v>
      </c>
      <c r="AC140" s="2"/>
      <c r="AD140" s="2"/>
      <c r="AE140" s="2"/>
      <c r="AF140" s="46">
        <f t="shared" si="7"/>
        <v>16449</v>
      </c>
      <c r="AG140" s="2"/>
    </row>
    <row r="141" spans="1:33" x14ac:dyDescent="0.45">
      <c r="A141" s="38" t="s">
        <v>80</v>
      </c>
      <c r="B141" s="44"/>
      <c r="C141" s="44"/>
      <c r="D141" s="44"/>
      <c r="E141" s="44"/>
      <c r="F141" s="44"/>
      <c r="G141" s="44"/>
      <c r="H141" s="46">
        <v>2</v>
      </c>
      <c r="I141" s="43"/>
      <c r="J141" s="43"/>
      <c r="K141" s="45">
        <v>2</v>
      </c>
      <c r="L141" s="45"/>
      <c r="M141" s="45"/>
      <c r="N141" s="43">
        <v>1</v>
      </c>
      <c r="O141" s="43">
        <v>215</v>
      </c>
      <c r="P141" s="43">
        <v>910</v>
      </c>
      <c r="Q141" s="43">
        <v>840</v>
      </c>
      <c r="R141" s="42">
        <v>600</v>
      </c>
      <c r="S141" s="42">
        <v>500</v>
      </c>
      <c r="T141" s="42">
        <v>630</v>
      </c>
      <c r="U141" s="43">
        <v>750</v>
      </c>
      <c r="V141" s="43">
        <v>800</v>
      </c>
      <c r="W141" s="42">
        <v>750</v>
      </c>
      <c r="X141" s="42">
        <v>680</v>
      </c>
      <c r="Y141" s="42">
        <v>250</v>
      </c>
      <c r="Z141" s="42">
        <v>150</v>
      </c>
      <c r="AA141" s="43">
        <v>13</v>
      </c>
      <c r="AB141" s="42">
        <v>4</v>
      </c>
      <c r="AC141" s="2"/>
      <c r="AD141" s="2"/>
      <c r="AE141" s="2"/>
      <c r="AF141" s="46">
        <f t="shared" si="7"/>
        <v>7097</v>
      </c>
      <c r="AG141" s="2"/>
    </row>
    <row r="142" spans="1:33" x14ac:dyDescent="0.45">
      <c r="A142" s="38" t="s">
        <v>14</v>
      </c>
      <c r="B142" s="44"/>
      <c r="C142" s="44"/>
      <c r="D142" s="44"/>
      <c r="E142" s="44"/>
      <c r="F142" s="44"/>
      <c r="G142" s="44"/>
      <c r="H142" s="46"/>
      <c r="I142" s="43"/>
      <c r="J142" s="43"/>
      <c r="K142" s="43">
        <v>3</v>
      </c>
      <c r="L142" s="43">
        <v>1</v>
      </c>
      <c r="M142" s="43">
        <v>3</v>
      </c>
      <c r="N142" s="43">
        <v>50</v>
      </c>
      <c r="O142" s="43">
        <v>445</v>
      </c>
      <c r="P142" s="43">
        <v>10</v>
      </c>
      <c r="Q142" s="43">
        <v>187</v>
      </c>
      <c r="R142" s="43">
        <v>110</v>
      </c>
      <c r="S142" s="43">
        <v>50</v>
      </c>
      <c r="T142" s="43">
        <v>500</v>
      </c>
      <c r="U142" s="43">
        <v>70</v>
      </c>
      <c r="V142" s="43">
        <v>15</v>
      </c>
      <c r="W142" s="43">
        <v>70</v>
      </c>
      <c r="X142" s="43">
        <v>155</v>
      </c>
      <c r="Y142" s="43">
        <v>100</v>
      </c>
      <c r="Z142" s="43">
        <v>50</v>
      </c>
      <c r="AA142" s="44"/>
      <c r="AB142" s="43">
        <v>1</v>
      </c>
      <c r="AC142" s="2"/>
      <c r="AD142" s="2"/>
      <c r="AE142" s="2"/>
      <c r="AF142" s="46">
        <f t="shared" si="7"/>
        <v>1820</v>
      </c>
      <c r="AG142" s="2"/>
    </row>
    <row r="143" spans="1:33" x14ac:dyDescent="0.45">
      <c r="A143" s="38" t="s">
        <v>15</v>
      </c>
      <c r="B143" s="44"/>
      <c r="C143" s="44"/>
      <c r="D143" s="44"/>
      <c r="E143" s="44"/>
      <c r="F143" s="44"/>
      <c r="G143" s="44"/>
      <c r="H143" s="46"/>
      <c r="I143" s="43"/>
      <c r="J143" s="43"/>
      <c r="K143" s="42">
        <v>3</v>
      </c>
      <c r="L143" s="42">
        <v>10</v>
      </c>
      <c r="M143" s="42">
        <v>5</v>
      </c>
      <c r="N143" s="42">
        <v>20</v>
      </c>
      <c r="O143" s="42">
        <v>135</v>
      </c>
      <c r="P143" s="42">
        <v>21</v>
      </c>
      <c r="Q143" s="42">
        <v>7</v>
      </c>
      <c r="R143" s="42">
        <v>10</v>
      </c>
      <c r="S143" s="42">
        <v>12</v>
      </c>
      <c r="T143" s="42">
        <v>12</v>
      </c>
      <c r="U143" s="43">
        <v>32</v>
      </c>
      <c r="V143" s="43">
        <v>4</v>
      </c>
      <c r="W143" s="42">
        <v>15</v>
      </c>
      <c r="X143" s="43">
        <v>10</v>
      </c>
      <c r="Y143" s="42">
        <v>5</v>
      </c>
      <c r="Z143" s="42">
        <v>2</v>
      </c>
      <c r="AA143" s="42">
        <v>12</v>
      </c>
      <c r="AB143" s="42">
        <v>12</v>
      </c>
      <c r="AC143" s="2"/>
      <c r="AD143" s="2"/>
      <c r="AE143" s="2"/>
      <c r="AF143" s="46">
        <f t="shared" si="7"/>
        <v>327</v>
      </c>
      <c r="AG143" s="2"/>
    </row>
    <row r="144" spans="1:33" x14ac:dyDescent="0.45">
      <c r="A144" s="38" t="s">
        <v>2</v>
      </c>
      <c r="B144" s="44"/>
      <c r="C144" s="44"/>
      <c r="D144" s="44"/>
      <c r="E144" s="44"/>
      <c r="F144" s="44"/>
      <c r="G144" s="44"/>
      <c r="H144" s="46"/>
      <c r="I144" s="43"/>
      <c r="J144" s="43"/>
      <c r="K144" s="42">
        <v>50</v>
      </c>
      <c r="L144" s="42">
        <v>8</v>
      </c>
      <c r="M144" s="42">
        <v>14</v>
      </c>
      <c r="N144" s="42">
        <v>27</v>
      </c>
      <c r="O144" s="43">
        <v>42</v>
      </c>
      <c r="P144" s="42">
        <v>30</v>
      </c>
      <c r="Q144" s="42">
        <v>37</v>
      </c>
      <c r="R144" s="44"/>
      <c r="S144" s="44"/>
      <c r="T144" s="44"/>
      <c r="U144" s="43">
        <v>6</v>
      </c>
      <c r="V144" s="42">
        <v>5</v>
      </c>
      <c r="W144" s="44"/>
      <c r="X144" s="45"/>
      <c r="Y144" s="44"/>
      <c r="Z144" s="44"/>
      <c r="AA144" s="42">
        <v>2</v>
      </c>
      <c r="AB144" s="44"/>
      <c r="AC144" s="2"/>
      <c r="AD144" s="2"/>
      <c r="AE144" s="2"/>
      <c r="AF144" s="46">
        <f t="shared" si="7"/>
        <v>221</v>
      </c>
      <c r="AG144" s="2"/>
    </row>
    <row r="145" spans="1:33" x14ac:dyDescent="0.45">
      <c r="A145" s="38" t="s">
        <v>45</v>
      </c>
      <c r="B145" s="44"/>
      <c r="C145" s="44"/>
      <c r="D145" s="44"/>
      <c r="E145" s="44"/>
      <c r="F145" s="44"/>
      <c r="G145" s="44"/>
      <c r="H145" s="46"/>
      <c r="I145" s="43"/>
      <c r="J145" s="43"/>
      <c r="K145" s="45">
        <v>5</v>
      </c>
      <c r="L145" s="45"/>
      <c r="M145" s="45"/>
      <c r="N145" s="45">
        <v>15</v>
      </c>
      <c r="O145" s="45">
        <v>4</v>
      </c>
      <c r="P145" s="45"/>
      <c r="Q145" s="45"/>
      <c r="R145" s="45"/>
      <c r="S145" s="45"/>
      <c r="T145" s="45"/>
      <c r="U145" s="45"/>
      <c r="V145" s="45"/>
      <c r="W145" s="45"/>
      <c r="X145" s="45"/>
      <c r="Y145" s="45"/>
      <c r="Z145" s="45"/>
      <c r="AA145" s="45"/>
      <c r="AB145" s="45"/>
      <c r="AC145" s="2"/>
      <c r="AD145" s="2"/>
      <c r="AE145" s="2"/>
      <c r="AF145" s="46">
        <f t="shared" si="7"/>
        <v>24</v>
      </c>
      <c r="AG145" s="2"/>
    </row>
    <row r="146" spans="1:33" x14ac:dyDescent="0.45">
      <c r="A146" s="38" t="s">
        <v>44</v>
      </c>
      <c r="B146" s="44"/>
      <c r="C146" s="44"/>
      <c r="D146" s="44"/>
      <c r="E146" s="44"/>
      <c r="F146" s="44"/>
      <c r="G146" s="44"/>
      <c r="H146" s="46"/>
      <c r="I146" s="43"/>
      <c r="J146" s="43"/>
      <c r="K146" s="45"/>
      <c r="L146" s="45"/>
      <c r="M146" s="45"/>
      <c r="N146" s="45"/>
      <c r="O146" s="45"/>
      <c r="P146" s="45"/>
      <c r="Q146" s="45"/>
      <c r="R146" s="45"/>
      <c r="S146" s="45"/>
      <c r="T146" s="45"/>
      <c r="U146" s="43">
        <v>3</v>
      </c>
      <c r="V146" s="43">
        <v>1</v>
      </c>
      <c r="W146" s="45"/>
      <c r="X146" s="43">
        <v>1</v>
      </c>
      <c r="Y146" s="45"/>
      <c r="Z146" s="45"/>
      <c r="AA146" s="44"/>
      <c r="AB146" s="45"/>
      <c r="AC146" s="2"/>
      <c r="AD146" s="2"/>
      <c r="AE146" s="2"/>
      <c r="AF146" s="46">
        <f t="shared" si="7"/>
        <v>5</v>
      </c>
      <c r="AG146" s="2"/>
    </row>
    <row r="147" spans="1:33" x14ac:dyDescent="0.45">
      <c r="A147" s="38" t="s">
        <v>1</v>
      </c>
      <c r="B147" s="44"/>
      <c r="C147" s="44"/>
      <c r="D147" s="44"/>
      <c r="E147" s="44"/>
      <c r="F147" s="44"/>
      <c r="G147" s="44"/>
      <c r="H147" s="46"/>
      <c r="I147" s="43"/>
      <c r="J147" s="43"/>
      <c r="K147" s="45"/>
      <c r="L147" s="45"/>
      <c r="M147" s="45"/>
      <c r="N147" s="45"/>
      <c r="O147" s="43">
        <v>2</v>
      </c>
      <c r="P147" s="45"/>
      <c r="Q147" s="45"/>
      <c r="R147" s="45"/>
      <c r="S147" s="45"/>
      <c r="T147" s="45"/>
      <c r="U147" s="43">
        <v>1</v>
      </c>
      <c r="V147" s="45"/>
      <c r="W147" s="45"/>
      <c r="X147" s="43">
        <v>1</v>
      </c>
      <c r="Y147" s="45"/>
      <c r="Z147" s="45"/>
      <c r="AA147" s="45"/>
      <c r="AB147" s="45"/>
      <c r="AC147" s="2"/>
      <c r="AD147" s="2"/>
      <c r="AE147" s="2"/>
      <c r="AF147" s="46">
        <f t="shared" si="7"/>
        <v>4</v>
      </c>
      <c r="AG147" s="2"/>
    </row>
    <row r="148" spans="1:33" x14ac:dyDescent="0.45">
      <c r="A148" s="38" t="s">
        <v>7</v>
      </c>
      <c r="B148" s="44"/>
      <c r="C148" s="44"/>
      <c r="D148" s="44"/>
      <c r="E148" s="44"/>
      <c r="F148" s="44"/>
      <c r="G148" s="44"/>
      <c r="H148" s="46"/>
      <c r="I148" s="43"/>
      <c r="J148" s="43"/>
      <c r="K148" s="44"/>
      <c r="L148" s="56">
        <v>1</v>
      </c>
      <c r="M148" s="44"/>
      <c r="N148" s="56">
        <v>2</v>
      </c>
      <c r="O148" s="44"/>
      <c r="P148" s="44"/>
      <c r="Q148" s="44"/>
      <c r="R148" s="44"/>
      <c r="S148" s="44"/>
      <c r="T148" s="44"/>
      <c r="U148" s="44"/>
      <c r="V148" s="44"/>
      <c r="W148" s="44"/>
      <c r="X148" s="44"/>
      <c r="Y148" s="44"/>
      <c r="Z148" s="44"/>
      <c r="AA148" s="44"/>
      <c r="AB148" s="44"/>
      <c r="AC148" s="2"/>
      <c r="AD148" s="2"/>
      <c r="AE148" s="2"/>
      <c r="AF148" s="46">
        <f t="shared" si="7"/>
        <v>3</v>
      </c>
      <c r="AG148" s="2"/>
    </row>
    <row r="149" spans="1:33" x14ac:dyDescent="0.45">
      <c r="A149" s="38" t="s">
        <v>81</v>
      </c>
      <c r="B149" s="43"/>
      <c r="C149" s="44"/>
      <c r="D149" s="43">
        <v>2</v>
      </c>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2"/>
      <c r="AD149" s="2"/>
      <c r="AE149" s="2"/>
      <c r="AF149" s="46">
        <f t="shared" si="7"/>
        <v>2</v>
      </c>
      <c r="AG149" s="2"/>
    </row>
    <row r="150" spans="1:33" x14ac:dyDescent="0.45">
      <c r="A150" s="54" t="s">
        <v>24</v>
      </c>
      <c r="B150" s="43">
        <f>SUM(B139:B149)</f>
        <v>0</v>
      </c>
      <c r="C150" s="43">
        <f t="shared" ref="C150:AE150" si="8">SUM(C139:C149)</f>
        <v>0</v>
      </c>
      <c r="D150" s="43">
        <f t="shared" si="8"/>
        <v>2</v>
      </c>
      <c r="E150" s="43">
        <f t="shared" si="8"/>
        <v>0</v>
      </c>
      <c r="F150" s="43">
        <f t="shared" si="8"/>
        <v>0</v>
      </c>
      <c r="G150" s="43">
        <f t="shared" si="8"/>
        <v>0</v>
      </c>
      <c r="H150" s="43">
        <f t="shared" si="8"/>
        <v>112</v>
      </c>
      <c r="I150" s="43">
        <f t="shared" si="8"/>
        <v>250</v>
      </c>
      <c r="J150" s="43">
        <f t="shared" si="8"/>
        <v>0</v>
      </c>
      <c r="K150" s="43">
        <f t="shared" si="8"/>
        <v>328</v>
      </c>
      <c r="L150" s="43">
        <f t="shared" si="8"/>
        <v>535</v>
      </c>
      <c r="M150" s="43">
        <f t="shared" si="8"/>
        <v>797</v>
      </c>
      <c r="N150" s="43">
        <f t="shared" si="8"/>
        <v>1610</v>
      </c>
      <c r="O150" s="43">
        <f t="shared" si="8"/>
        <v>5238</v>
      </c>
      <c r="P150" s="43">
        <f t="shared" si="8"/>
        <v>3611</v>
      </c>
      <c r="Q150" s="43">
        <f t="shared" si="8"/>
        <v>3291</v>
      </c>
      <c r="R150" s="43">
        <f t="shared" si="8"/>
        <v>2870</v>
      </c>
      <c r="S150" s="43">
        <f t="shared" si="8"/>
        <v>3412</v>
      </c>
      <c r="T150" s="43">
        <f t="shared" si="8"/>
        <v>8737</v>
      </c>
      <c r="U150" s="43">
        <f t="shared" si="8"/>
        <v>2432</v>
      </c>
      <c r="V150" s="43">
        <f t="shared" si="8"/>
        <v>6335</v>
      </c>
      <c r="W150" s="43">
        <f t="shared" si="8"/>
        <v>6135</v>
      </c>
      <c r="X150" s="43">
        <f t="shared" si="8"/>
        <v>5927</v>
      </c>
      <c r="Y150" s="43">
        <f t="shared" si="8"/>
        <v>2785</v>
      </c>
      <c r="Z150" s="43">
        <f t="shared" si="8"/>
        <v>752</v>
      </c>
      <c r="AA150" s="43">
        <f t="shared" si="8"/>
        <v>317</v>
      </c>
      <c r="AB150" s="43">
        <f t="shared" si="8"/>
        <v>221</v>
      </c>
      <c r="AC150" s="43">
        <f t="shared" si="8"/>
        <v>0</v>
      </c>
      <c r="AD150" s="43">
        <f t="shared" si="8"/>
        <v>0</v>
      </c>
      <c r="AE150" s="43">
        <f t="shared" si="8"/>
        <v>0</v>
      </c>
      <c r="AF150" s="46">
        <f t="shared" si="7"/>
        <v>55697</v>
      </c>
      <c r="AG150" s="2"/>
    </row>
    <row r="151" spans="1:33" x14ac:dyDescent="0.45">
      <c r="A151" s="38"/>
      <c r="B151" s="43"/>
      <c r="C151" s="43"/>
      <c r="D151" s="43"/>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2"/>
      <c r="AD151" s="2"/>
      <c r="AE151" s="2"/>
      <c r="AF151" s="44"/>
      <c r="AG151" s="2"/>
    </row>
    <row r="152" spans="1:33" x14ac:dyDescent="0.45">
      <c r="A152" s="51">
        <v>1991</v>
      </c>
      <c r="B152" s="46"/>
      <c r="C152" s="43"/>
      <c r="D152" s="43"/>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2"/>
      <c r="AD152" s="2"/>
      <c r="AE152" s="2"/>
      <c r="AF152" s="44"/>
      <c r="AG152" s="2"/>
    </row>
    <row r="153" spans="1:33" x14ac:dyDescent="0.45">
      <c r="A153" s="37" t="s">
        <v>82</v>
      </c>
      <c r="B153" s="38"/>
      <c r="C153" s="40"/>
      <c r="D153" s="5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1:33" x14ac:dyDescent="0.45">
      <c r="A154" s="38"/>
      <c r="B154" s="39">
        <v>33350</v>
      </c>
      <c r="C154" s="39">
        <v>33351</v>
      </c>
      <c r="D154" s="39">
        <v>33352</v>
      </c>
      <c r="E154" s="39">
        <v>33353</v>
      </c>
      <c r="F154" s="39">
        <v>33354</v>
      </c>
      <c r="G154" s="39">
        <v>33355</v>
      </c>
      <c r="H154" s="40">
        <v>33356</v>
      </c>
      <c r="I154" s="40">
        <v>33357</v>
      </c>
      <c r="J154" s="40">
        <v>33358</v>
      </c>
      <c r="K154" s="40">
        <v>33359</v>
      </c>
      <c r="L154" s="40">
        <v>33360</v>
      </c>
      <c r="M154" s="40">
        <v>33361</v>
      </c>
      <c r="N154" s="40">
        <v>33362</v>
      </c>
      <c r="O154" s="40">
        <v>33363</v>
      </c>
      <c r="P154" s="40">
        <v>33364</v>
      </c>
      <c r="Q154" s="40">
        <v>33365</v>
      </c>
      <c r="R154" s="40">
        <v>33366</v>
      </c>
      <c r="S154" s="40">
        <v>33367</v>
      </c>
      <c r="T154" s="40">
        <v>33368</v>
      </c>
      <c r="U154" s="40">
        <v>33369</v>
      </c>
      <c r="V154" s="40">
        <v>33370</v>
      </c>
      <c r="W154" s="40">
        <v>33371</v>
      </c>
      <c r="X154" s="40">
        <v>33372</v>
      </c>
      <c r="Y154" s="40">
        <v>33373</v>
      </c>
      <c r="Z154" s="40">
        <v>33374</v>
      </c>
      <c r="AA154" s="40">
        <v>33375</v>
      </c>
      <c r="AB154" s="40">
        <v>33376</v>
      </c>
      <c r="AC154" s="39">
        <v>33377</v>
      </c>
      <c r="AD154" s="39">
        <v>33378</v>
      </c>
      <c r="AE154" s="39">
        <v>33379</v>
      </c>
      <c r="AF154" s="55" t="s">
        <v>24</v>
      </c>
      <c r="AG154" s="2"/>
    </row>
    <row r="155" spans="1:33" x14ac:dyDescent="0.45">
      <c r="A155" s="38" t="s">
        <v>11</v>
      </c>
      <c r="B155" s="2"/>
      <c r="C155" s="44"/>
      <c r="D155" s="44"/>
      <c r="E155" s="44"/>
      <c r="F155" s="45"/>
      <c r="G155" s="45"/>
      <c r="H155" s="43"/>
      <c r="I155" s="42">
        <v>1</v>
      </c>
      <c r="J155" s="42">
        <v>100</v>
      </c>
      <c r="K155" s="42">
        <v>10</v>
      </c>
      <c r="L155" s="42">
        <v>55</v>
      </c>
      <c r="M155" s="44"/>
      <c r="N155" s="44"/>
      <c r="O155" s="43">
        <v>600</v>
      </c>
      <c r="P155" s="43">
        <v>13450</v>
      </c>
      <c r="Q155" s="43">
        <v>15630</v>
      </c>
      <c r="R155" s="43">
        <v>10618</v>
      </c>
      <c r="S155" s="43">
        <v>7877</v>
      </c>
      <c r="T155" s="43">
        <v>5001</v>
      </c>
      <c r="U155" s="43">
        <v>2000</v>
      </c>
      <c r="V155" s="44"/>
      <c r="W155" s="42">
        <v>8000</v>
      </c>
      <c r="X155" s="43">
        <v>860</v>
      </c>
      <c r="Y155" s="43">
        <v>3600</v>
      </c>
      <c r="Z155" s="43">
        <v>5050</v>
      </c>
      <c r="AA155" s="42">
        <v>850</v>
      </c>
      <c r="AB155" s="42">
        <v>1270</v>
      </c>
      <c r="AC155" s="2"/>
      <c r="AD155" s="2"/>
      <c r="AE155" s="2"/>
      <c r="AF155" s="46">
        <f t="shared" ref="AF155:AF174" si="9">SUM(B155:AE155)</f>
        <v>74972</v>
      </c>
      <c r="AG155" s="2"/>
    </row>
    <row r="156" spans="1:33" x14ac:dyDescent="0.45">
      <c r="A156" s="38" t="s">
        <v>17</v>
      </c>
      <c r="B156" s="2"/>
      <c r="C156" s="44"/>
      <c r="D156" s="44"/>
      <c r="E156" s="44"/>
      <c r="F156" s="46"/>
      <c r="G156" s="43"/>
      <c r="H156" s="43"/>
      <c r="I156" s="44"/>
      <c r="J156" s="44"/>
      <c r="K156" s="44"/>
      <c r="L156" s="44"/>
      <c r="M156" s="44"/>
      <c r="N156" s="44"/>
      <c r="O156" s="44"/>
      <c r="P156" s="42">
        <v>100</v>
      </c>
      <c r="Q156" s="45"/>
      <c r="R156" s="43">
        <v>5000</v>
      </c>
      <c r="S156" s="45"/>
      <c r="T156" s="42">
        <v>3000</v>
      </c>
      <c r="U156" s="44"/>
      <c r="V156" s="44"/>
      <c r="W156" s="44"/>
      <c r="X156" s="44"/>
      <c r="Y156" s="42">
        <v>3000</v>
      </c>
      <c r="Z156" s="44"/>
      <c r="AA156" s="42">
        <v>1250</v>
      </c>
      <c r="AB156" s="44"/>
      <c r="AC156" s="2"/>
      <c r="AD156" s="2"/>
      <c r="AE156" s="2"/>
      <c r="AF156" s="46">
        <f t="shared" si="9"/>
        <v>12350</v>
      </c>
      <c r="AG156" s="2"/>
    </row>
    <row r="157" spans="1:33" x14ac:dyDescent="0.45">
      <c r="A157" s="38" t="s">
        <v>14</v>
      </c>
      <c r="B157" s="2"/>
      <c r="C157" s="44"/>
      <c r="D157" s="44"/>
      <c r="E157" s="44"/>
      <c r="F157" s="43">
        <v>2</v>
      </c>
      <c r="G157" s="45"/>
      <c r="H157" s="45"/>
      <c r="I157" s="44"/>
      <c r="J157" s="42">
        <v>13</v>
      </c>
      <c r="K157" s="43">
        <v>12</v>
      </c>
      <c r="L157" s="43">
        <v>3</v>
      </c>
      <c r="M157" s="44"/>
      <c r="N157" s="44"/>
      <c r="O157" s="43">
        <v>20</v>
      </c>
      <c r="P157" s="43">
        <v>105</v>
      </c>
      <c r="Q157" s="43">
        <v>289</v>
      </c>
      <c r="R157" s="43">
        <v>1000</v>
      </c>
      <c r="S157" s="43">
        <v>500</v>
      </c>
      <c r="T157" s="43">
        <v>133</v>
      </c>
      <c r="U157" s="43">
        <v>400</v>
      </c>
      <c r="V157" s="44"/>
      <c r="W157" s="44"/>
      <c r="X157" s="43">
        <v>140</v>
      </c>
      <c r="Y157" s="43">
        <v>500</v>
      </c>
      <c r="Z157" s="42">
        <v>700</v>
      </c>
      <c r="AA157" s="42">
        <v>150</v>
      </c>
      <c r="AB157" s="42">
        <v>130</v>
      </c>
      <c r="AC157" s="2"/>
      <c r="AD157" s="2"/>
      <c r="AE157" s="2"/>
      <c r="AF157" s="46">
        <f t="shared" si="9"/>
        <v>4097</v>
      </c>
      <c r="AG157" s="2"/>
    </row>
    <row r="158" spans="1:33" x14ac:dyDescent="0.45">
      <c r="A158" s="38" t="s">
        <v>79</v>
      </c>
      <c r="B158" s="2"/>
      <c r="C158" s="44"/>
      <c r="D158" s="44"/>
      <c r="E158" s="44"/>
      <c r="F158" s="45"/>
      <c r="G158" s="45"/>
      <c r="H158" s="43"/>
      <c r="I158" s="44"/>
      <c r="J158" s="45"/>
      <c r="K158" s="45"/>
      <c r="L158" s="45">
        <v>700</v>
      </c>
      <c r="M158" s="44"/>
      <c r="N158" s="44"/>
      <c r="O158" s="44"/>
      <c r="P158" s="43">
        <v>2</v>
      </c>
      <c r="Q158" s="43">
        <v>22</v>
      </c>
      <c r="R158" s="43">
        <v>234</v>
      </c>
      <c r="S158" s="43">
        <v>1200</v>
      </c>
      <c r="T158" s="43">
        <v>75</v>
      </c>
      <c r="U158" s="43">
        <v>600</v>
      </c>
      <c r="V158" s="44"/>
      <c r="W158" s="44"/>
      <c r="X158" s="43">
        <v>75</v>
      </c>
      <c r="Y158" s="43">
        <v>1000</v>
      </c>
      <c r="Z158" s="45"/>
      <c r="AA158" s="44"/>
      <c r="AB158" s="44"/>
      <c r="AC158" s="2"/>
      <c r="AD158" s="2"/>
      <c r="AE158" s="2"/>
      <c r="AF158" s="46">
        <f t="shared" si="9"/>
        <v>3908</v>
      </c>
      <c r="AG158" s="2"/>
    </row>
    <row r="159" spans="1:33" x14ac:dyDescent="0.45">
      <c r="A159" s="38" t="s">
        <v>80</v>
      </c>
      <c r="B159" s="2"/>
      <c r="C159" s="44"/>
      <c r="D159" s="44"/>
      <c r="E159" s="44"/>
      <c r="F159" s="46"/>
      <c r="G159" s="43"/>
      <c r="H159" s="43"/>
      <c r="I159" s="44"/>
      <c r="J159" s="44"/>
      <c r="K159" s="42">
        <v>1</v>
      </c>
      <c r="L159" s="42">
        <v>100</v>
      </c>
      <c r="M159" s="44"/>
      <c r="N159" s="44"/>
      <c r="O159" s="42">
        <v>50</v>
      </c>
      <c r="P159" s="42">
        <v>165</v>
      </c>
      <c r="Q159" s="42">
        <v>88</v>
      </c>
      <c r="R159" s="42">
        <v>76</v>
      </c>
      <c r="S159" s="43">
        <v>1000</v>
      </c>
      <c r="T159" s="43">
        <v>100</v>
      </c>
      <c r="U159" s="43">
        <v>600</v>
      </c>
      <c r="V159" s="44"/>
      <c r="W159" s="44"/>
      <c r="X159" s="42">
        <v>125</v>
      </c>
      <c r="Y159" s="42">
        <v>1070</v>
      </c>
      <c r="Z159" s="44"/>
      <c r="AA159" s="44">
        <v>1</v>
      </c>
      <c r="AB159" s="44"/>
      <c r="AC159" s="2"/>
      <c r="AD159" s="2"/>
      <c r="AE159" s="2"/>
      <c r="AF159" s="46">
        <f t="shared" si="9"/>
        <v>3376</v>
      </c>
      <c r="AG159" s="2"/>
    </row>
    <row r="160" spans="1:33" x14ac:dyDescent="0.45">
      <c r="A160" s="38" t="s">
        <v>15</v>
      </c>
      <c r="B160" s="2"/>
      <c r="C160" s="44"/>
      <c r="D160" s="44"/>
      <c r="E160" s="44"/>
      <c r="F160" s="46"/>
      <c r="G160" s="42"/>
      <c r="H160" s="42"/>
      <c r="I160" s="44"/>
      <c r="J160" s="45"/>
      <c r="K160" s="45"/>
      <c r="L160" s="43">
        <v>75</v>
      </c>
      <c r="M160" s="44"/>
      <c r="N160" s="44"/>
      <c r="O160" s="43">
        <v>3</v>
      </c>
      <c r="P160" s="43">
        <v>91</v>
      </c>
      <c r="Q160" s="43">
        <v>67</v>
      </c>
      <c r="R160" s="43">
        <v>68</v>
      </c>
      <c r="S160" s="43">
        <v>79</v>
      </c>
      <c r="T160" s="43">
        <v>19</v>
      </c>
      <c r="U160" s="43">
        <v>40</v>
      </c>
      <c r="V160" s="44"/>
      <c r="W160" s="44"/>
      <c r="X160" s="43">
        <v>10</v>
      </c>
      <c r="Y160" s="43">
        <v>90</v>
      </c>
      <c r="Z160" s="43">
        <v>52</v>
      </c>
      <c r="AA160" s="43">
        <v>75</v>
      </c>
      <c r="AB160" s="43">
        <v>62</v>
      </c>
      <c r="AC160" s="2"/>
      <c r="AD160" s="2"/>
      <c r="AE160" s="2"/>
      <c r="AF160" s="46">
        <f t="shared" si="9"/>
        <v>731</v>
      </c>
      <c r="AG160" s="2"/>
    </row>
    <row r="161" spans="1:33" x14ac:dyDescent="0.45">
      <c r="A161" s="38" t="s">
        <v>2</v>
      </c>
      <c r="B161" s="2"/>
      <c r="C161" s="44"/>
      <c r="D161" s="44"/>
      <c r="E161" s="44"/>
      <c r="F161" s="42">
        <v>4</v>
      </c>
      <c r="G161" s="42"/>
      <c r="H161" s="42"/>
      <c r="I161" s="44"/>
      <c r="J161" s="42">
        <v>9</v>
      </c>
      <c r="K161" s="42">
        <v>1</v>
      </c>
      <c r="L161" s="42">
        <v>36</v>
      </c>
      <c r="M161" s="44"/>
      <c r="N161" s="44"/>
      <c r="O161" s="44"/>
      <c r="P161" s="42">
        <v>40</v>
      </c>
      <c r="Q161" s="42">
        <v>16</v>
      </c>
      <c r="R161" s="43">
        <v>20</v>
      </c>
      <c r="S161" s="42">
        <v>11</v>
      </c>
      <c r="T161" s="42">
        <v>1</v>
      </c>
      <c r="U161" s="43">
        <v>2</v>
      </c>
      <c r="V161" s="44"/>
      <c r="W161" s="44"/>
      <c r="X161" s="42">
        <v>1</v>
      </c>
      <c r="Y161" s="42">
        <v>2</v>
      </c>
      <c r="Z161" s="42">
        <v>5</v>
      </c>
      <c r="AA161" s="44"/>
      <c r="AB161" s="44"/>
      <c r="AC161" s="2"/>
      <c r="AD161" s="2"/>
      <c r="AE161" s="2"/>
      <c r="AF161" s="46">
        <f t="shared" si="9"/>
        <v>148</v>
      </c>
      <c r="AG161" s="2"/>
    </row>
    <row r="162" spans="1:33" x14ac:dyDescent="0.45">
      <c r="A162" s="38" t="s">
        <v>45</v>
      </c>
      <c r="B162" s="2"/>
      <c r="C162" s="44"/>
      <c r="D162" s="44"/>
      <c r="E162" s="44"/>
      <c r="F162" s="46"/>
      <c r="G162" s="43"/>
      <c r="H162" s="43"/>
      <c r="I162" s="44"/>
      <c r="J162" s="44"/>
      <c r="K162" s="44"/>
      <c r="L162" s="44"/>
      <c r="M162" s="44"/>
      <c r="N162" s="44"/>
      <c r="O162" s="42">
        <v>1</v>
      </c>
      <c r="P162" s="43">
        <v>2</v>
      </c>
      <c r="Q162" s="43">
        <v>5</v>
      </c>
      <c r="R162" s="42">
        <v>3</v>
      </c>
      <c r="S162" s="43">
        <v>6</v>
      </c>
      <c r="T162" s="42">
        <v>2</v>
      </c>
      <c r="U162" s="42">
        <v>20</v>
      </c>
      <c r="V162" s="44"/>
      <c r="W162" s="44"/>
      <c r="X162" s="42">
        <v>3</v>
      </c>
      <c r="Y162" s="42">
        <v>3</v>
      </c>
      <c r="Z162" s="42">
        <v>4</v>
      </c>
      <c r="AA162" s="44"/>
      <c r="AB162" s="44"/>
      <c r="AC162" s="2"/>
      <c r="AD162" s="2"/>
      <c r="AE162" s="2"/>
      <c r="AF162" s="46">
        <f t="shared" si="9"/>
        <v>49</v>
      </c>
      <c r="AG162" s="2"/>
    </row>
    <row r="163" spans="1:33" x14ac:dyDescent="0.45">
      <c r="A163" s="38" t="s">
        <v>1</v>
      </c>
      <c r="B163" s="2"/>
      <c r="C163" s="44"/>
      <c r="D163" s="44"/>
      <c r="E163" s="44"/>
      <c r="F163" s="46"/>
      <c r="G163" s="43"/>
      <c r="H163" s="43"/>
      <c r="I163" s="44"/>
      <c r="J163" s="44"/>
      <c r="K163" s="44"/>
      <c r="L163" s="44"/>
      <c r="M163" s="44"/>
      <c r="N163" s="44"/>
      <c r="O163" s="44"/>
      <c r="P163" s="44"/>
      <c r="Q163" s="45"/>
      <c r="R163" s="43">
        <v>20</v>
      </c>
      <c r="S163" s="45"/>
      <c r="T163" s="42">
        <v>2</v>
      </c>
      <c r="U163" s="42">
        <v>5</v>
      </c>
      <c r="V163" s="44"/>
      <c r="W163" s="44"/>
      <c r="X163" s="42">
        <v>1</v>
      </c>
      <c r="Y163" s="42">
        <v>2</v>
      </c>
      <c r="Z163" s="42">
        <v>4</v>
      </c>
      <c r="AA163" s="42">
        <v>1</v>
      </c>
      <c r="AB163" s="42">
        <v>4</v>
      </c>
      <c r="AC163" s="2"/>
      <c r="AD163" s="2"/>
      <c r="AE163" s="2"/>
      <c r="AF163" s="46">
        <f t="shared" si="9"/>
        <v>39</v>
      </c>
      <c r="AG163" s="2"/>
    </row>
    <row r="164" spans="1:33" x14ac:dyDescent="0.45">
      <c r="A164" s="38" t="s">
        <v>12</v>
      </c>
      <c r="B164" s="2"/>
      <c r="C164" s="44"/>
      <c r="D164" s="44"/>
      <c r="E164" s="44"/>
      <c r="F164" s="45"/>
      <c r="G164" s="45"/>
      <c r="H164" s="45"/>
      <c r="I164" s="44"/>
      <c r="J164" s="44"/>
      <c r="K164" s="44"/>
      <c r="L164" s="44"/>
      <c r="M164" s="44"/>
      <c r="N164" s="44"/>
      <c r="O164" s="44"/>
      <c r="P164" s="45"/>
      <c r="Q164" s="44"/>
      <c r="R164" s="43">
        <v>20</v>
      </c>
      <c r="S164" s="44"/>
      <c r="T164" s="45"/>
      <c r="U164" s="42">
        <v>2</v>
      </c>
      <c r="V164" s="44"/>
      <c r="W164" s="44"/>
      <c r="X164" s="56">
        <v>1</v>
      </c>
      <c r="Y164" s="45"/>
      <c r="Z164" s="44"/>
      <c r="AA164" s="45"/>
      <c r="AB164" s="44"/>
      <c r="AC164" s="2"/>
      <c r="AD164" s="2"/>
      <c r="AE164" s="2"/>
      <c r="AF164" s="46">
        <f t="shared" si="9"/>
        <v>23</v>
      </c>
      <c r="AG164" s="2"/>
    </row>
    <row r="165" spans="1:33" x14ac:dyDescent="0.45">
      <c r="A165" s="38" t="s">
        <v>7</v>
      </c>
      <c r="B165" s="2"/>
      <c r="C165" s="44"/>
      <c r="D165" s="44"/>
      <c r="E165" s="44"/>
      <c r="F165" s="45"/>
      <c r="G165" s="45"/>
      <c r="H165" s="43"/>
      <c r="I165" s="44"/>
      <c r="J165" s="44"/>
      <c r="K165" s="44"/>
      <c r="L165" s="44"/>
      <c r="M165" s="44"/>
      <c r="N165" s="44"/>
      <c r="O165" s="44"/>
      <c r="P165" s="42">
        <v>1</v>
      </c>
      <c r="Q165" s="43">
        <v>4</v>
      </c>
      <c r="R165" s="43">
        <v>1</v>
      </c>
      <c r="S165" s="42">
        <v>3</v>
      </c>
      <c r="T165" s="42">
        <v>1</v>
      </c>
      <c r="U165" s="44"/>
      <c r="V165" s="44"/>
      <c r="W165" s="44"/>
      <c r="X165" s="42">
        <v>5</v>
      </c>
      <c r="Y165" s="45"/>
      <c r="Z165" s="44"/>
      <c r="AA165" s="44"/>
      <c r="AB165" s="45"/>
      <c r="AC165" s="2"/>
      <c r="AD165" s="2"/>
      <c r="AE165" s="2"/>
      <c r="AF165" s="46">
        <f t="shared" si="9"/>
        <v>15</v>
      </c>
      <c r="AG165" s="2"/>
    </row>
    <row r="166" spans="1:33" x14ac:dyDescent="0.45">
      <c r="A166" s="38" t="s">
        <v>44</v>
      </c>
      <c r="B166" s="2"/>
      <c r="C166" s="44"/>
      <c r="D166" s="44"/>
      <c r="E166" s="44"/>
      <c r="F166" s="46"/>
      <c r="G166" s="43"/>
      <c r="H166" s="43"/>
      <c r="I166" s="44"/>
      <c r="J166" s="44"/>
      <c r="K166" s="44"/>
      <c r="L166" s="44"/>
      <c r="M166" s="44"/>
      <c r="N166" s="44"/>
      <c r="O166" s="44"/>
      <c r="P166" s="44"/>
      <c r="Q166" s="42">
        <v>4</v>
      </c>
      <c r="R166" s="43">
        <v>1</v>
      </c>
      <c r="S166" s="44"/>
      <c r="T166" s="45"/>
      <c r="U166" s="45"/>
      <c r="V166" s="44"/>
      <c r="W166" s="44"/>
      <c r="X166" s="45"/>
      <c r="Y166" s="43">
        <v>4</v>
      </c>
      <c r="Z166" s="45"/>
      <c r="AA166" s="45"/>
      <c r="AB166" s="43">
        <v>4</v>
      </c>
      <c r="AC166" s="2"/>
      <c r="AD166" s="2"/>
      <c r="AE166" s="2"/>
      <c r="AF166" s="46">
        <f t="shared" si="9"/>
        <v>13</v>
      </c>
      <c r="AG166" s="2"/>
    </row>
    <row r="167" spans="1:33" x14ac:dyDescent="0.45">
      <c r="A167" s="38" t="s">
        <v>8</v>
      </c>
      <c r="B167" s="2"/>
      <c r="C167" s="44"/>
      <c r="D167" s="44"/>
      <c r="E167" s="44"/>
      <c r="F167" s="43"/>
      <c r="G167" s="45"/>
      <c r="H167" s="43"/>
      <c r="I167" s="44"/>
      <c r="J167" s="44"/>
      <c r="K167" s="44"/>
      <c r="L167" s="45"/>
      <c r="M167" s="44"/>
      <c r="N167" s="44"/>
      <c r="O167" s="45"/>
      <c r="P167" s="45"/>
      <c r="Q167" s="45"/>
      <c r="R167" s="45"/>
      <c r="S167" s="45"/>
      <c r="T167" s="45"/>
      <c r="U167" s="43">
        <v>5</v>
      </c>
      <c r="V167" s="44"/>
      <c r="W167" s="44"/>
      <c r="X167" s="45"/>
      <c r="Y167" s="43">
        <v>7</v>
      </c>
      <c r="Z167" s="45"/>
      <c r="AA167" s="45"/>
      <c r="AB167" s="45"/>
      <c r="AC167" s="2"/>
      <c r="AD167" s="2"/>
      <c r="AE167" s="2"/>
      <c r="AF167" s="46">
        <f t="shared" si="9"/>
        <v>12</v>
      </c>
      <c r="AG167" s="2"/>
    </row>
    <row r="168" spans="1:33" x14ac:dyDescent="0.45">
      <c r="A168" s="38" t="s">
        <v>53</v>
      </c>
      <c r="B168" s="2"/>
      <c r="C168" s="44"/>
      <c r="D168" s="44"/>
      <c r="E168" s="44"/>
      <c r="F168" s="47"/>
      <c r="G168" s="42"/>
      <c r="H168" s="43"/>
      <c r="I168" s="44"/>
      <c r="J168" s="44"/>
      <c r="K168" s="44"/>
      <c r="L168" s="44"/>
      <c r="M168" s="44"/>
      <c r="N168" s="44"/>
      <c r="O168" s="44"/>
      <c r="P168" s="45"/>
      <c r="Q168" s="43">
        <v>1</v>
      </c>
      <c r="R168" s="43">
        <v>2</v>
      </c>
      <c r="S168" s="43">
        <v>5</v>
      </c>
      <c r="T168" s="45"/>
      <c r="U168" s="45"/>
      <c r="V168" s="44"/>
      <c r="W168" s="44"/>
      <c r="X168" s="45"/>
      <c r="Y168" s="45"/>
      <c r="Z168" s="44"/>
      <c r="AA168" s="44"/>
      <c r="AB168" s="44"/>
      <c r="AC168" s="2"/>
      <c r="AD168" s="2"/>
      <c r="AE168" s="2"/>
      <c r="AF168" s="46">
        <f t="shared" si="9"/>
        <v>8</v>
      </c>
      <c r="AG168" s="2"/>
    </row>
    <row r="169" spans="1:33" x14ac:dyDescent="0.45">
      <c r="A169" s="38" t="s">
        <v>83</v>
      </c>
      <c r="B169" s="2"/>
      <c r="C169" s="44"/>
      <c r="D169" s="44"/>
      <c r="E169" s="44"/>
      <c r="F169" s="47"/>
      <c r="G169" s="42"/>
      <c r="H169" s="43"/>
      <c r="I169" s="45"/>
      <c r="J169" s="45"/>
      <c r="K169" s="45"/>
      <c r="L169" s="45"/>
      <c r="M169" s="44"/>
      <c r="N169" s="44"/>
      <c r="O169" s="45"/>
      <c r="P169" s="45"/>
      <c r="Q169" s="45"/>
      <c r="R169" s="45"/>
      <c r="S169" s="43">
        <v>1</v>
      </c>
      <c r="T169" s="43">
        <v>2</v>
      </c>
      <c r="U169" s="43">
        <v>3</v>
      </c>
      <c r="V169" s="44"/>
      <c r="W169" s="45"/>
      <c r="X169" s="45"/>
      <c r="Y169" s="45"/>
      <c r="Z169" s="45">
        <v>1</v>
      </c>
      <c r="AA169" s="45"/>
      <c r="AB169" s="45"/>
      <c r="AC169" s="2"/>
      <c r="AD169" s="2"/>
      <c r="AE169" s="2"/>
      <c r="AF169" s="46">
        <f t="shared" si="9"/>
        <v>7</v>
      </c>
      <c r="AG169" s="2"/>
    </row>
    <row r="170" spans="1:33" x14ac:dyDescent="0.45">
      <c r="A170" s="38" t="s">
        <v>50</v>
      </c>
      <c r="B170" s="2"/>
      <c r="C170" s="44"/>
      <c r="D170" s="44"/>
      <c r="E170" s="44"/>
      <c r="F170" s="47"/>
      <c r="G170" s="42"/>
      <c r="H170" s="43"/>
      <c r="I170" s="44"/>
      <c r="J170" s="44"/>
      <c r="K170" s="44"/>
      <c r="L170" s="44"/>
      <c r="M170" s="44"/>
      <c r="N170" s="44"/>
      <c r="O170" s="44"/>
      <c r="P170" s="45"/>
      <c r="Q170" s="43">
        <v>1</v>
      </c>
      <c r="R170" s="43">
        <v>2</v>
      </c>
      <c r="S170" s="43">
        <v>1</v>
      </c>
      <c r="T170" s="45"/>
      <c r="U170" s="44"/>
      <c r="V170" s="44"/>
      <c r="W170" s="44"/>
      <c r="X170" s="45"/>
      <c r="Y170" s="44"/>
      <c r="Z170" s="44">
        <v>1</v>
      </c>
      <c r="AA170" s="44"/>
      <c r="AB170" s="44"/>
      <c r="AC170" s="2"/>
      <c r="AD170" s="2"/>
      <c r="AE170" s="2"/>
      <c r="AF170" s="46">
        <f t="shared" si="9"/>
        <v>5</v>
      </c>
      <c r="AG170" s="2"/>
    </row>
    <row r="171" spans="1:33" x14ac:dyDescent="0.45">
      <c r="A171" s="38" t="s">
        <v>42</v>
      </c>
      <c r="B171" s="2"/>
      <c r="C171" s="44"/>
      <c r="D171" s="44"/>
      <c r="E171" s="44"/>
      <c r="F171" s="46"/>
      <c r="G171" s="42"/>
      <c r="H171" s="43"/>
      <c r="I171" s="44"/>
      <c r="J171" s="44"/>
      <c r="K171" s="44"/>
      <c r="L171" s="44"/>
      <c r="M171" s="44"/>
      <c r="N171" s="44"/>
      <c r="O171" s="44"/>
      <c r="P171" s="42">
        <v>1</v>
      </c>
      <c r="Q171" s="43">
        <v>1</v>
      </c>
      <c r="R171" s="44"/>
      <c r="S171" s="42">
        <v>1</v>
      </c>
      <c r="T171" s="44"/>
      <c r="U171" s="44"/>
      <c r="V171" s="44"/>
      <c r="W171" s="44"/>
      <c r="X171" s="44"/>
      <c r="Y171" s="44"/>
      <c r="Z171" s="44"/>
      <c r="AA171" s="44"/>
      <c r="AB171" s="44"/>
      <c r="AC171" s="2"/>
      <c r="AD171" s="2"/>
      <c r="AE171" s="2"/>
      <c r="AF171" s="46">
        <f t="shared" si="9"/>
        <v>3</v>
      </c>
      <c r="AG171" s="2"/>
    </row>
    <row r="172" spans="1:33" x14ac:dyDescent="0.45">
      <c r="A172" s="38" t="s">
        <v>4</v>
      </c>
      <c r="B172" s="2"/>
      <c r="C172" s="44"/>
      <c r="D172" s="44"/>
      <c r="E172" s="44"/>
      <c r="F172" s="43"/>
      <c r="G172" s="44"/>
      <c r="H172" s="43"/>
      <c r="I172" s="44"/>
      <c r="J172" s="44"/>
      <c r="K172" s="44"/>
      <c r="L172" s="44"/>
      <c r="M172" s="44"/>
      <c r="N172" s="44"/>
      <c r="O172" s="44"/>
      <c r="P172" s="44"/>
      <c r="Q172" s="42">
        <v>2</v>
      </c>
      <c r="R172" s="44"/>
      <c r="S172" s="44"/>
      <c r="T172" s="44"/>
      <c r="U172" s="44"/>
      <c r="V172" s="44"/>
      <c r="W172" s="44"/>
      <c r="X172" s="44"/>
      <c r="Y172" s="44"/>
      <c r="Z172" s="45"/>
      <c r="AA172" s="44"/>
      <c r="AB172" s="44"/>
      <c r="AC172" s="2"/>
      <c r="AD172" s="2"/>
      <c r="AE172" s="2"/>
      <c r="AF172" s="46">
        <f t="shared" si="9"/>
        <v>2</v>
      </c>
      <c r="AG172" s="2"/>
    </row>
    <row r="173" spans="1:33" x14ac:dyDescent="0.45">
      <c r="A173" s="38" t="s">
        <v>13</v>
      </c>
      <c r="B173" s="2"/>
      <c r="C173" s="44"/>
      <c r="D173" s="44"/>
      <c r="E173" s="44"/>
      <c r="F173" s="43"/>
      <c r="G173" s="44"/>
      <c r="H173" s="43"/>
      <c r="I173" s="44"/>
      <c r="J173" s="44"/>
      <c r="K173" s="44"/>
      <c r="L173" s="44"/>
      <c r="M173" s="44"/>
      <c r="N173" s="44"/>
      <c r="O173" s="44"/>
      <c r="P173" s="44"/>
      <c r="Q173" s="44"/>
      <c r="R173" s="44"/>
      <c r="S173" s="44"/>
      <c r="T173" s="44"/>
      <c r="U173" s="45"/>
      <c r="V173" s="44"/>
      <c r="W173" s="44"/>
      <c r="X173" s="44"/>
      <c r="Y173" s="45"/>
      <c r="Z173" s="42">
        <v>1</v>
      </c>
      <c r="AA173" s="44"/>
      <c r="AB173" s="44"/>
      <c r="AC173" s="2"/>
      <c r="AD173" s="2"/>
      <c r="AE173" s="2"/>
      <c r="AF173" s="46">
        <f t="shared" si="9"/>
        <v>1</v>
      </c>
      <c r="AG173" s="2"/>
    </row>
    <row r="174" spans="1:33" x14ac:dyDescent="0.45">
      <c r="A174" s="50" t="s">
        <v>24</v>
      </c>
      <c r="B174" s="44">
        <f>SUM(B155:B173)</f>
        <v>0</v>
      </c>
      <c r="C174" s="44">
        <f t="shared" ref="C174:AE174" si="10">SUM(C155:C173)</f>
        <v>0</v>
      </c>
      <c r="D174" s="44">
        <f t="shared" si="10"/>
        <v>0</v>
      </c>
      <c r="E174" s="44">
        <f t="shared" si="10"/>
        <v>0</v>
      </c>
      <c r="F174" s="44">
        <f t="shared" si="10"/>
        <v>6</v>
      </c>
      <c r="G174" s="44">
        <f t="shared" si="10"/>
        <v>0</v>
      </c>
      <c r="H174" s="44">
        <f t="shared" si="10"/>
        <v>0</v>
      </c>
      <c r="I174" s="44">
        <f t="shared" si="10"/>
        <v>1</v>
      </c>
      <c r="J174" s="44">
        <f t="shared" si="10"/>
        <v>122</v>
      </c>
      <c r="K174" s="44">
        <f t="shared" si="10"/>
        <v>24</v>
      </c>
      <c r="L174" s="44">
        <f t="shared" si="10"/>
        <v>969</v>
      </c>
      <c r="M174" s="44">
        <f t="shared" si="10"/>
        <v>0</v>
      </c>
      <c r="N174" s="44">
        <f t="shared" si="10"/>
        <v>0</v>
      </c>
      <c r="O174" s="44">
        <f t="shared" si="10"/>
        <v>674</v>
      </c>
      <c r="P174" s="44">
        <f t="shared" si="10"/>
        <v>13957</v>
      </c>
      <c r="Q174" s="44">
        <f t="shared" si="10"/>
        <v>16130</v>
      </c>
      <c r="R174" s="44">
        <f t="shared" si="10"/>
        <v>17065</v>
      </c>
      <c r="S174" s="44">
        <f t="shared" si="10"/>
        <v>10684</v>
      </c>
      <c r="T174" s="44">
        <f t="shared" si="10"/>
        <v>8336</v>
      </c>
      <c r="U174" s="44">
        <f t="shared" si="10"/>
        <v>3677</v>
      </c>
      <c r="V174" s="44">
        <f t="shared" si="10"/>
        <v>0</v>
      </c>
      <c r="W174" s="44">
        <f t="shared" si="10"/>
        <v>8000</v>
      </c>
      <c r="X174" s="44">
        <f t="shared" si="10"/>
        <v>1221</v>
      </c>
      <c r="Y174" s="44">
        <f t="shared" si="10"/>
        <v>9278</v>
      </c>
      <c r="Z174" s="44">
        <f t="shared" si="10"/>
        <v>5818</v>
      </c>
      <c r="AA174" s="44">
        <f t="shared" si="10"/>
        <v>2327</v>
      </c>
      <c r="AB174" s="44">
        <f t="shared" si="10"/>
        <v>1470</v>
      </c>
      <c r="AC174" s="44">
        <f t="shared" si="10"/>
        <v>0</v>
      </c>
      <c r="AD174" s="44">
        <f t="shared" si="10"/>
        <v>0</v>
      </c>
      <c r="AE174" s="44">
        <f t="shared" si="10"/>
        <v>0</v>
      </c>
      <c r="AF174" s="46">
        <f t="shared" si="9"/>
        <v>99759</v>
      </c>
      <c r="AG174" s="2"/>
    </row>
    <row r="175" spans="1:33" x14ac:dyDescent="0.4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1:33" x14ac:dyDescent="0.45">
      <c r="A176" s="51">
        <v>1992</v>
      </c>
      <c r="B176" s="38"/>
      <c r="C176" s="40"/>
      <c r="D176" s="5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1:33" x14ac:dyDescent="0.45">
      <c r="A177" s="57" t="s">
        <v>78</v>
      </c>
      <c r="B177" s="38"/>
      <c r="C177" s="40"/>
      <c r="D177" s="5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1:33" x14ac:dyDescent="0.45">
      <c r="A178" s="2"/>
      <c r="B178" s="39">
        <v>33716</v>
      </c>
      <c r="C178" s="39">
        <v>33717</v>
      </c>
      <c r="D178" s="39">
        <v>33718</v>
      </c>
      <c r="E178" s="39">
        <v>33719</v>
      </c>
      <c r="F178" s="39">
        <v>33720</v>
      </c>
      <c r="G178" s="39">
        <v>33721</v>
      </c>
      <c r="H178" s="40">
        <v>33722</v>
      </c>
      <c r="I178" s="40">
        <v>33723</v>
      </c>
      <c r="J178" s="40">
        <v>33724</v>
      </c>
      <c r="K178" s="40">
        <v>33725</v>
      </c>
      <c r="L178" s="40">
        <v>33726</v>
      </c>
      <c r="M178" s="40">
        <v>33727</v>
      </c>
      <c r="N178" s="40">
        <v>33728</v>
      </c>
      <c r="O178" s="40">
        <v>33729</v>
      </c>
      <c r="P178" s="40">
        <v>33730</v>
      </c>
      <c r="Q178" s="40">
        <v>33731</v>
      </c>
      <c r="R178" s="40">
        <v>33732</v>
      </c>
      <c r="S178" s="40">
        <v>33733</v>
      </c>
      <c r="T178" s="40">
        <v>33734</v>
      </c>
      <c r="U178" s="40">
        <v>33735</v>
      </c>
      <c r="V178" s="40">
        <v>33736</v>
      </c>
      <c r="W178" s="40">
        <v>33737</v>
      </c>
      <c r="X178" s="40">
        <v>33738</v>
      </c>
      <c r="Y178" s="40">
        <v>33739</v>
      </c>
      <c r="Z178" s="40">
        <v>33740</v>
      </c>
      <c r="AA178" s="40">
        <v>33741</v>
      </c>
      <c r="AB178" s="40">
        <v>33742</v>
      </c>
      <c r="AC178" s="39">
        <v>33743</v>
      </c>
      <c r="AD178" s="39">
        <v>33744</v>
      </c>
      <c r="AE178" s="39">
        <v>33745</v>
      </c>
      <c r="AF178" s="55" t="s">
        <v>24</v>
      </c>
      <c r="AG178" s="2"/>
    </row>
    <row r="179" spans="1:33" x14ac:dyDescent="0.45">
      <c r="A179" s="38" t="s">
        <v>11</v>
      </c>
      <c r="B179" s="43">
        <v>3</v>
      </c>
      <c r="C179" s="45"/>
      <c r="D179" s="43">
        <v>12</v>
      </c>
      <c r="E179" s="44"/>
      <c r="F179" s="42">
        <v>75</v>
      </c>
      <c r="G179" s="42">
        <v>22</v>
      </c>
      <c r="H179" s="42">
        <v>90</v>
      </c>
      <c r="I179" s="42">
        <v>255</v>
      </c>
      <c r="J179" s="42">
        <v>77</v>
      </c>
      <c r="K179" s="42">
        <v>700</v>
      </c>
      <c r="L179" s="43">
        <v>865</v>
      </c>
      <c r="M179" s="43">
        <v>10500</v>
      </c>
      <c r="N179" s="43">
        <v>6500</v>
      </c>
      <c r="O179" s="42">
        <v>8500</v>
      </c>
      <c r="P179" s="43">
        <v>11000</v>
      </c>
      <c r="Q179" s="42">
        <v>10750</v>
      </c>
      <c r="R179" s="43">
        <v>9300</v>
      </c>
      <c r="S179" s="43">
        <v>6050</v>
      </c>
      <c r="T179" s="43">
        <v>6500</v>
      </c>
      <c r="U179" s="43">
        <v>5400</v>
      </c>
      <c r="V179" s="43">
        <v>3050</v>
      </c>
      <c r="W179" s="43">
        <v>3500</v>
      </c>
      <c r="X179" s="42">
        <v>3000</v>
      </c>
      <c r="Y179" s="43">
        <v>4200</v>
      </c>
      <c r="Z179" s="43">
        <v>3550</v>
      </c>
      <c r="AA179" s="42">
        <v>255</v>
      </c>
      <c r="AB179" s="44"/>
      <c r="AC179" s="2"/>
      <c r="AD179" s="2"/>
      <c r="AE179" s="2"/>
      <c r="AF179" s="46">
        <f t="shared" ref="AF179:AF200" si="11">SUM(B179:AE179)</f>
        <v>94154</v>
      </c>
      <c r="AG179" s="2"/>
    </row>
    <row r="180" spans="1:33" x14ac:dyDescent="0.45">
      <c r="A180" s="38" t="s">
        <v>79</v>
      </c>
      <c r="B180" s="45"/>
      <c r="C180" s="45"/>
      <c r="D180" s="45"/>
      <c r="E180" s="44"/>
      <c r="F180" s="44"/>
      <c r="G180" s="42">
        <v>66</v>
      </c>
      <c r="H180" s="42">
        <v>160</v>
      </c>
      <c r="I180" s="42">
        <v>140</v>
      </c>
      <c r="J180" s="42">
        <v>850</v>
      </c>
      <c r="K180" s="42">
        <v>780</v>
      </c>
      <c r="L180" s="42">
        <v>1250</v>
      </c>
      <c r="M180" s="42">
        <v>1200</v>
      </c>
      <c r="N180" s="42">
        <v>3500</v>
      </c>
      <c r="O180" s="42">
        <v>3150</v>
      </c>
      <c r="P180" s="42">
        <v>3500</v>
      </c>
      <c r="Q180" s="42">
        <v>2500</v>
      </c>
      <c r="R180" s="42">
        <v>2800</v>
      </c>
      <c r="S180" s="42">
        <v>2600</v>
      </c>
      <c r="T180" s="43">
        <v>2500</v>
      </c>
      <c r="U180" s="43">
        <v>2500</v>
      </c>
      <c r="V180" s="42">
        <v>2500</v>
      </c>
      <c r="W180" s="43">
        <v>2500</v>
      </c>
      <c r="X180" s="43">
        <v>1500</v>
      </c>
      <c r="Y180" s="42">
        <v>3130</v>
      </c>
      <c r="Z180" s="42">
        <v>3200</v>
      </c>
      <c r="AA180" s="42">
        <v>150</v>
      </c>
      <c r="AB180" s="42"/>
      <c r="AC180" s="2"/>
      <c r="AD180" s="2"/>
      <c r="AE180" s="2">
        <v>30</v>
      </c>
      <c r="AF180" s="46">
        <f t="shared" si="11"/>
        <v>40506</v>
      </c>
      <c r="AG180" s="2"/>
    </row>
    <row r="181" spans="1:33" x14ac:dyDescent="0.45">
      <c r="A181" s="38" t="s">
        <v>14</v>
      </c>
      <c r="B181" s="46"/>
      <c r="C181" s="43"/>
      <c r="D181" s="43">
        <v>4</v>
      </c>
      <c r="E181" s="44"/>
      <c r="F181" s="42">
        <v>4</v>
      </c>
      <c r="G181" s="44"/>
      <c r="H181" s="42">
        <v>1</v>
      </c>
      <c r="I181" s="43">
        <v>215</v>
      </c>
      <c r="J181" s="43">
        <v>4</v>
      </c>
      <c r="K181" s="43">
        <v>350</v>
      </c>
      <c r="L181" s="43">
        <v>318</v>
      </c>
      <c r="M181" s="43">
        <v>2000</v>
      </c>
      <c r="N181" s="43">
        <v>1250</v>
      </c>
      <c r="O181" s="43">
        <v>950</v>
      </c>
      <c r="P181" s="43">
        <v>2500</v>
      </c>
      <c r="Q181" s="43">
        <v>1925</v>
      </c>
      <c r="R181" s="43">
        <v>1500</v>
      </c>
      <c r="S181" s="43">
        <v>370</v>
      </c>
      <c r="T181" s="43">
        <v>150</v>
      </c>
      <c r="U181" s="43">
        <v>162</v>
      </c>
      <c r="V181" s="43">
        <v>125</v>
      </c>
      <c r="W181" s="43">
        <v>220</v>
      </c>
      <c r="X181" s="43">
        <v>55</v>
      </c>
      <c r="Y181" s="43">
        <v>285</v>
      </c>
      <c r="Z181" s="43">
        <v>255</v>
      </c>
      <c r="AA181" s="43">
        <v>10</v>
      </c>
      <c r="AB181" s="44"/>
      <c r="AC181" s="2"/>
      <c r="AD181" s="2"/>
      <c r="AE181" s="2"/>
      <c r="AF181" s="46">
        <f t="shared" si="11"/>
        <v>12653</v>
      </c>
      <c r="AG181" s="2"/>
    </row>
    <row r="182" spans="1:33" x14ac:dyDescent="0.45">
      <c r="A182" s="38" t="s">
        <v>15</v>
      </c>
      <c r="B182" s="45"/>
      <c r="C182" s="45"/>
      <c r="D182" s="45"/>
      <c r="E182" s="44"/>
      <c r="F182" s="43">
        <v>150</v>
      </c>
      <c r="G182" s="45"/>
      <c r="H182" s="42">
        <v>40</v>
      </c>
      <c r="I182" s="43">
        <v>74</v>
      </c>
      <c r="J182" s="43">
        <v>15</v>
      </c>
      <c r="K182" s="43">
        <v>220</v>
      </c>
      <c r="L182" s="43">
        <v>290</v>
      </c>
      <c r="M182" s="43">
        <v>550</v>
      </c>
      <c r="N182" s="43">
        <v>450</v>
      </c>
      <c r="O182" s="43">
        <v>400</v>
      </c>
      <c r="P182" s="43">
        <v>850</v>
      </c>
      <c r="Q182" s="43">
        <v>1960</v>
      </c>
      <c r="R182" s="43">
        <v>2000</v>
      </c>
      <c r="S182" s="43">
        <v>125</v>
      </c>
      <c r="T182" s="43">
        <v>90</v>
      </c>
      <c r="U182" s="43">
        <v>54</v>
      </c>
      <c r="V182" s="43">
        <v>150</v>
      </c>
      <c r="W182" s="43">
        <v>70</v>
      </c>
      <c r="X182" s="43">
        <v>65</v>
      </c>
      <c r="Y182" s="43">
        <v>63</v>
      </c>
      <c r="Z182" s="43">
        <v>80</v>
      </c>
      <c r="AA182" s="43">
        <v>14</v>
      </c>
      <c r="AB182" s="44"/>
      <c r="AC182" s="2"/>
      <c r="AD182" s="2"/>
      <c r="AE182" s="2"/>
      <c r="AF182" s="46">
        <f t="shared" si="11"/>
        <v>7710</v>
      </c>
      <c r="AG182" s="2"/>
    </row>
    <row r="183" spans="1:33" x14ac:dyDescent="0.45">
      <c r="A183" s="38" t="s">
        <v>80</v>
      </c>
      <c r="B183" s="46"/>
      <c r="C183" s="43"/>
      <c r="D183" s="43"/>
      <c r="E183" s="44"/>
      <c r="F183" s="45"/>
      <c r="G183" s="44"/>
      <c r="H183" s="45"/>
      <c r="I183" s="43">
        <v>25</v>
      </c>
      <c r="J183" s="43">
        <v>10</v>
      </c>
      <c r="K183" s="43">
        <v>30</v>
      </c>
      <c r="L183" s="43">
        <v>70</v>
      </c>
      <c r="M183" s="43">
        <v>258</v>
      </c>
      <c r="N183" s="43">
        <v>400</v>
      </c>
      <c r="O183" s="43">
        <v>345</v>
      </c>
      <c r="P183" s="43">
        <v>575</v>
      </c>
      <c r="Q183" s="43">
        <v>650</v>
      </c>
      <c r="R183" s="43">
        <v>850</v>
      </c>
      <c r="S183" s="43">
        <v>328</v>
      </c>
      <c r="T183" s="43">
        <v>550</v>
      </c>
      <c r="U183" s="43">
        <v>500</v>
      </c>
      <c r="V183" s="43">
        <v>500</v>
      </c>
      <c r="W183" s="43">
        <v>200</v>
      </c>
      <c r="X183" s="43">
        <v>155</v>
      </c>
      <c r="Y183" s="43">
        <v>180</v>
      </c>
      <c r="Z183" s="43">
        <v>625</v>
      </c>
      <c r="AA183" s="43">
        <v>55</v>
      </c>
      <c r="AB183" s="44"/>
      <c r="AC183" s="2"/>
      <c r="AD183" s="2"/>
      <c r="AE183" s="2"/>
      <c r="AF183" s="46">
        <f t="shared" si="11"/>
        <v>6306</v>
      </c>
      <c r="AG183" s="2"/>
    </row>
    <row r="184" spans="1:33" x14ac:dyDescent="0.45">
      <c r="A184" s="38" t="s">
        <v>2</v>
      </c>
      <c r="B184" s="43">
        <v>27</v>
      </c>
      <c r="C184" s="43"/>
      <c r="D184" s="43">
        <v>24</v>
      </c>
      <c r="E184" s="44"/>
      <c r="F184" s="43">
        <v>18</v>
      </c>
      <c r="G184" s="43">
        <v>1</v>
      </c>
      <c r="H184" s="44"/>
      <c r="I184" s="42">
        <v>17</v>
      </c>
      <c r="J184" s="42">
        <v>17</v>
      </c>
      <c r="K184" s="43">
        <v>22</v>
      </c>
      <c r="L184" s="43">
        <v>25</v>
      </c>
      <c r="M184" s="43">
        <v>85</v>
      </c>
      <c r="N184" s="43">
        <v>38</v>
      </c>
      <c r="O184" s="43">
        <v>63</v>
      </c>
      <c r="P184" s="43">
        <v>27</v>
      </c>
      <c r="Q184" s="43">
        <v>1430</v>
      </c>
      <c r="R184" s="43">
        <v>590</v>
      </c>
      <c r="S184" s="42">
        <v>205</v>
      </c>
      <c r="T184" s="42">
        <v>75</v>
      </c>
      <c r="U184" s="42">
        <v>108</v>
      </c>
      <c r="V184" s="42">
        <v>76</v>
      </c>
      <c r="W184" s="42">
        <v>110</v>
      </c>
      <c r="X184" s="42">
        <v>22</v>
      </c>
      <c r="Y184" s="42">
        <v>37</v>
      </c>
      <c r="Z184" s="42">
        <v>69</v>
      </c>
      <c r="AA184" s="42">
        <v>12</v>
      </c>
      <c r="AB184" s="44"/>
      <c r="AC184" s="2"/>
      <c r="AD184" s="2"/>
      <c r="AE184" s="2"/>
      <c r="AF184" s="46">
        <f t="shared" si="11"/>
        <v>3098</v>
      </c>
      <c r="AG184" s="2"/>
    </row>
    <row r="185" spans="1:33" x14ac:dyDescent="0.45">
      <c r="A185" s="38" t="s">
        <v>1</v>
      </c>
      <c r="B185" s="44"/>
      <c r="C185" s="44"/>
      <c r="D185" s="44"/>
      <c r="E185" s="44"/>
      <c r="F185" s="44"/>
      <c r="G185" s="44"/>
      <c r="H185" s="44"/>
      <c r="I185" s="44"/>
      <c r="J185" s="44"/>
      <c r="K185" s="43">
        <v>4</v>
      </c>
      <c r="L185" s="42">
        <v>2</v>
      </c>
      <c r="M185" s="42">
        <v>1</v>
      </c>
      <c r="N185" s="43">
        <v>1</v>
      </c>
      <c r="O185" s="42">
        <v>3</v>
      </c>
      <c r="P185" s="44"/>
      <c r="Q185" s="42">
        <v>9</v>
      </c>
      <c r="R185" s="42">
        <v>2</v>
      </c>
      <c r="S185" s="43">
        <v>7</v>
      </c>
      <c r="T185" s="43">
        <v>5</v>
      </c>
      <c r="U185" s="43">
        <v>10</v>
      </c>
      <c r="V185" s="43">
        <v>5</v>
      </c>
      <c r="W185" s="43">
        <v>7</v>
      </c>
      <c r="X185" s="42">
        <v>5</v>
      </c>
      <c r="Y185" s="42">
        <v>4</v>
      </c>
      <c r="Z185" s="43">
        <v>13</v>
      </c>
      <c r="AA185" s="43">
        <v>12</v>
      </c>
      <c r="AB185" s="44"/>
      <c r="AC185" s="2"/>
      <c r="AD185" s="2"/>
      <c r="AE185" s="2"/>
      <c r="AF185" s="46">
        <f t="shared" si="11"/>
        <v>90</v>
      </c>
      <c r="AG185" s="2"/>
    </row>
    <row r="186" spans="1:33" x14ac:dyDescent="0.45">
      <c r="A186" s="38" t="s">
        <v>12</v>
      </c>
      <c r="B186" s="44"/>
      <c r="C186" s="44"/>
      <c r="D186" s="44"/>
      <c r="E186" s="44"/>
      <c r="F186" s="44"/>
      <c r="G186" s="44"/>
      <c r="H186" s="44"/>
      <c r="I186" s="44"/>
      <c r="J186" s="44"/>
      <c r="K186" s="42">
        <v>1</v>
      </c>
      <c r="L186" s="44"/>
      <c r="M186" s="44"/>
      <c r="N186" s="42">
        <v>5</v>
      </c>
      <c r="O186" s="44"/>
      <c r="P186" s="44"/>
      <c r="Q186" s="44"/>
      <c r="R186" s="44"/>
      <c r="S186" s="42">
        <v>11</v>
      </c>
      <c r="T186" s="43">
        <v>15</v>
      </c>
      <c r="U186" s="43">
        <v>10</v>
      </c>
      <c r="V186" s="42">
        <v>15</v>
      </c>
      <c r="W186" s="43">
        <v>10</v>
      </c>
      <c r="X186" s="44"/>
      <c r="Y186" s="44"/>
      <c r="Z186" s="42">
        <v>10</v>
      </c>
      <c r="AA186" s="43">
        <v>12</v>
      </c>
      <c r="AB186" s="44"/>
      <c r="AC186" s="2"/>
      <c r="AD186" s="2"/>
      <c r="AE186" s="2"/>
      <c r="AF186" s="46">
        <f t="shared" si="11"/>
        <v>89</v>
      </c>
      <c r="AG186" s="2"/>
    </row>
    <row r="187" spans="1:33" x14ac:dyDescent="0.45">
      <c r="A187" s="38" t="s">
        <v>7</v>
      </c>
      <c r="B187" s="42">
        <v>8</v>
      </c>
      <c r="C187" s="44"/>
      <c r="D187" s="44"/>
      <c r="E187" s="42">
        <v>6</v>
      </c>
      <c r="F187" s="44"/>
      <c r="G187" s="43">
        <v>1</v>
      </c>
      <c r="H187" s="42">
        <v>4</v>
      </c>
      <c r="I187" s="42">
        <v>1</v>
      </c>
      <c r="J187" s="44"/>
      <c r="K187" s="42">
        <v>1</v>
      </c>
      <c r="L187" s="44"/>
      <c r="M187" s="42">
        <v>1</v>
      </c>
      <c r="N187" s="43">
        <v>16</v>
      </c>
      <c r="O187" s="45"/>
      <c r="P187" s="42">
        <v>2</v>
      </c>
      <c r="Q187" s="42">
        <v>13</v>
      </c>
      <c r="R187" s="42">
        <v>14</v>
      </c>
      <c r="S187" s="42">
        <v>5</v>
      </c>
      <c r="T187" s="42">
        <v>1</v>
      </c>
      <c r="U187" s="42">
        <v>2</v>
      </c>
      <c r="V187" s="42">
        <v>2</v>
      </c>
      <c r="W187" s="44"/>
      <c r="X187" s="44"/>
      <c r="Y187" s="44"/>
      <c r="Z187" s="43">
        <v>4</v>
      </c>
      <c r="AA187" s="43">
        <v>1</v>
      </c>
      <c r="AB187" s="45"/>
      <c r="AC187" s="2"/>
      <c r="AD187" s="2"/>
      <c r="AE187" s="2"/>
      <c r="AF187" s="46">
        <f t="shared" si="11"/>
        <v>82</v>
      </c>
      <c r="AG187" s="2"/>
    </row>
    <row r="188" spans="1:33" x14ac:dyDescent="0.45">
      <c r="A188" s="38" t="s">
        <v>45</v>
      </c>
      <c r="B188" s="47"/>
      <c r="C188" s="42"/>
      <c r="D188" s="42"/>
      <c r="E188" s="44"/>
      <c r="F188" s="44"/>
      <c r="G188" s="44"/>
      <c r="H188" s="44"/>
      <c r="I188" s="44"/>
      <c r="J188" s="44"/>
      <c r="K188" s="44"/>
      <c r="L188" s="42">
        <v>11</v>
      </c>
      <c r="M188" s="42">
        <v>8</v>
      </c>
      <c r="N188" s="42">
        <v>18</v>
      </c>
      <c r="O188" s="44"/>
      <c r="P188" s="42">
        <v>1</v>
      </c>
      <c r="Q188" s="44"/>
      <c r="R188" s="42">
        <v>2</v>
      </c>
      <c r="S188" s="42">
        <v>6</v>
      </c>
      <c r="T188" s="42">
        <v>3</v>
      </c>
      <c r="U188" s="42">
        <v>5</v>
      </c>
      <c r="V188" s="42">
        <v>7</v>
      </c>
      <c r="W188" s="42">
        <v>7</v>
      </c>
      <c r="X188" s="44"/>
      <c r="Y188" s="42">
        <v>1</v>
      </c>
      <c r="Z188" s="42">
        <v>3</v>
      </c>
      <c r="AA188" s="44"/>
      <c r="AB188" s="44"/>
      <c r="AC188" s="2"/>
      <c r="AD188" s="2"/>
      <c r="AE188" s="2"/>
      <c r="AF188" s="46">
        <f t="shared" si="11"/>
        <v>72</v>
      </c>
      <c r="AG188" s="2"/>
    </row>
    <row r="189" spans="1:33" x14ac:dyDescent="0.45">
      <c r="A189" s="38" t="s">
        <v>3</v>
      </c>
      <c r="B189" s="47"/>
      <c r="C189" s="42"/>
      <c r="D189" s="42">
        <v>3</v>
      </c>
      <c r="E189" s="44"/>
      <c r="F189" s="42">
        <v>3</v>
      </c>
      <c r="G189" s="42">
        <v>1</v>
      </c>
      <c r="H189" s="44"/>
      <c r="I189" s="44"/>
      <c r="J189" s="44"/>
      <c r="K189" s="43">
        <v>11</v>
      </c>
      <c r="L189" s="43">
        <v>2</v>
      </c>
      <c r="M189" s="43">
        <v>2</v>
      </c>
      <c r="N189" s="43">
        <v>1</v>
      </c>
      <c r="O189" s="43">
        <v>3</v>
      </c>
      <c r="P189" s="42">
        <v>3</v>
      </c>
      <c r="Q189" s="43">
        <v>5</v>
      </c>
      <c r="R189" s="43">
        <v>2</v>
      </c>
      <c r="S189" s="45"/>
      <c r="T189" s="45"/>
      <c r="U189" s="45"/>
      <c r="V189" s="45"/>
      <c r="W189" s="45"/>
      <c r="X189" s="45"/>
      <c r="Y189" s="45"/>
      <c r="Z189" s="45"/>
      <c r="AA189" s="45"/>
      <c r="AB189" s="44"/>
      <c r="AC189" s="2"/>
      <c r="AD189" s="2"/>
      <c r="AE189" s="2"/>
      <c r="AF189" s="46">
        <f t="shared" si="11"/>
        <v>36</v>
      </c>
      <c r="AG189" s="2"/>
    </row>
    <row r="190" spans="1:33" x14ac:dyDescent="0.45">
      <c r="A190" s="38" t="s">
        <v>44</v>
      </c>
      <c r="B190" s="44"/>
      <c r="C190" s="44"/>
      <c r="D190" s="44"/>
      <c r="E190" s="44"/>
      <c r="F190" s="45"/>
      <c r="G190" s="44"/>
      <c r="H190" s="45"/>
      <c r="I190" s="45"/>
      <c r="J190" s="45"/>
      <c r="K190" s="45"/>
      <c r="L190" s="52">
        <v>1</v>
      </c>
      <c r="M190" s="45"/>
      <c r="N190" s="52">
        <v>2</v>
      </c>
      <c r="O190" s="52">
        <v>4</v>
      </c>
      <c r="P190" s="58"/>
      <c r="Q190" s="52">
        <v>2</v>
      </c>
      <c r="R190" s="58"/>
      <c r="S190" s="52">
        <v>7</v>
      </c>
      <c r="T190" s="52">
        <v>4</v>
      </c>
      <c r="U190" s="58"/>
      <c r="V190" s="52">
        <v>1</v>
      </c>
      <c r="W190" s="52">
        <v>5</v>
      </c>
      <c r="X190" s="52">
        <v>1</v>
      </c>
      <c r="Y190" s="52">
        <v>2</v>
      </c>
      <c r="Z190" s="52">
        <v>7</v>
      </c>
      <c r="AA190" s="45"/>
      <c r="AB190" s="44"/>
      <c r="AC190" s="2"/>
      <c r="AD190" s="2"/>
      <c r="AE190" s="2"/>
      <c r="AF190" s="46">
        <f t="shared" si="11"/>
        <v>36</v>
      </c>
      <c r="AG190" s="2"/>
    </row>
    <row r="191" spans="1:33" x14ac:dyDescent="0.45">
      <c r="A191" s="38" t="s">
        <v>40</v>
      </c>
      <c r="B191" s="44"/>
      <c r="C191" s="44"/>
      <c r="D191" s="44"/>
      <c r="E191" s="44"/>
      <c r="F191" s="44"/>
      <c r="G191" s="43">
        <v>1</v>
      </c>
      <c r="H191" s="45"/>
      <c r="I191" s="45"/>
      <c r="J191" s="45"/>
      <c r="K191" s="45"/>
      <c r="L191" s="45"/>
      <c r="M191" s="45"/>
      <c r="N191" s="43">
        <v>1</v>
      </c>
      <c r="O191" s="43">
        <v>4</v>
      </c>
      <c r="P191" s="45"/>
      <c r="Q191" s="45"/>
      <c r="R191" s="45"/>
      <c r="S191" s="45"/>
      <c r="T191" s="45"/>
      <c r="U191" s="45"/>
      <c r="V191" s="45"/>
      <c r="W191" s="45"/>
      <c r="X191" s="45"/>
      <c r="Y191" s="45"/>
      <c r="Z191" s="43">
        <v>6</v>
      </c>
      <c r="AA191" s="43">
        <v>1</v>
      </c>
      <c r="AB191" s="43"/>
      <c r="AC191" s="2"/>
      <c r="AD191" s="2"/>
      <c r="AE191" s="2">
        <v>1</v>
      </c>
      <c r="AF191" s="46">
        <f t="shared" si="11"/>
        <v>14</v>
      </c>
      <c r="AG191" s="2"/>
    </row>
    <row r="192" spans="1:33" x14ac:dyDescent="0.45">
      <c r="A192" s="38" t="s">
        <v>8</v>
      </c>
      <c r="B192" s="44"/>
      <c r="C192" s="44"/>
      <c r="D192" s="44"/>
      <c r="E192" s="44"/>
      <c r="F192" s="44"/>
      <c r="G192" s="44"/>
      <c r="H192" s="44"/>
      <c r="I192" s="44"/>
      <c r="J192" s="44"/>
      <c r="K192" s="44"/>
      <c r="L192" s="44"/>
      <c r="M192" s="44"/>
      <c r="N192" s="44"/>
      <c r="O192" s="44"/>
      <c r="P192" s="44"/>
      <c r="Q192" s="43">
        <v>1</v>
      </c>
      <c r="R192" s="44"/>
      <c r="S192" s="43">
        <v>1</v>
      </c>
      <c r="T192" s="44"/>
      <c r="U192" s="43">
        <v>1</v>
      </c>
      <c r="V192" s="43">
        <v>1</v>
      </c>
      <c r="W192" s="44"/>
      <c r="X192" s="44"/>
      <c r="Y192" s="43">
        <v>1</v>
      </c>
      <c r="Z192" s="43">
        <v>1</v>
      </c>
      <c r="AA192" s="43">
        <v>1</v>
      </c>
      <c r="AB192" s="44"/>
      <c r="AC192" s="2"/>
      <c r="AD192" s="2"/>
      <c r="AE192" s="2"/>
      <c r="AF192" s="46">
        <f t="shared" si="11"/>
        <v>7</v>
      </c>
      <c r="AG192" s="2"/>
    </row>
    <row r="193" spans="1:33" x14ac:dyDescent="0.45">
      <c r="A193" s="38" t="s">
        <v>50</v>
      </c>
      <c r="B193" s="46"/>
      <c r="C193" s="42"/>
      <c r="D193" s="43"/>
      <c r="E193" s="44"/>
      <c r="F193" s="45"/>
      <c r="G193" s="45"/>
      <c r="H193" s="45"/>
      <c r="I193" s="45"/>
      <c r="J193" s="45"/>
      <c r="K193" s="45"/>
      <c r="L193" s="45"/>
      <c r="M193" s="45"/>
      <c r="N193" s="45"/>
      <c r="O193" s="45"/>
      <c r="P193" s="45"/>
      <c r="Q193" s="45"/>
      <c r="R193" s="45"/>
      <c r="S193" s="45"/>
      <c r="T193" s="43">
        <v>1</v>
      </c>
      <c r="U193" s="43">
        <v>2</v>
      </c>
      <c r="V193" s="45"/>
      <c r="W193" s="43">
        <v>1</v>
      </c>
      <c r="X193" s="43">
        <v>1</v>
      </c>
      <c r="Y193" s="45"/>
      <c r="Z193" s="45"/>
      <c r="AA193" s="45"/>
      <c r="AB193" s="44"/>
      <c r="AC193" s="2"/>
      <c r="AD193" s="2"/>
      <c r="AE193" s="2"/>
      <c r="AF193" s="46">
        <f t="shared" si="11"/>
        <v>5</v>
      </c>
      <c r="AG193" s="2"/>
    </row>
    <row r="194" spans="1:33" x14ac:dyDescent="0.45">
      <c r="A194" s="38" t="s">
        <v>42</v>
      </c>
      <c r="B194" s="45"/>
      <c r="C194" s="44"/>
      <c r="D194" s="44"/>
      <c r="E194" s="45"/>
      <c r="F194" s="44"/>
      <c r="G194" s="45"/>
      <c r="H194" s="45"/>
      <c r="I194" s="45"/>
      <c r="J194" s="44"/>
      <c r="K194" s="45"/>
      <c r="L194" s="44"/>
      <c r="M194" s="45"/>
      <c r="N194" s="45"/>
      <c r="O194" s="44"/>
      <c r="P194" s="45"/>
      <c r="Q194" s="45"/>
      <c r="R194" s="45"/>
      <c r="S194" s="45"/>
      <c r="T194" s="43">
        <v>1</v>
      </c>
      <c r="U194" s="43">
        <v>1</v>
      </c>
      <c r="V194" s="45"/>
      <c r="W194" s="42">
        <v>1</v>
      </c>
      <c r="X194" s="44"/>
      <c r="Y194" s="44"/>
      <c r="Z194" s="45"/>
      <c r="AA194" s="43">
        <v>1</v>
      </c>
      <c r="AB194" s="44"/>
      <c r="AC194" s="2"/>
      <c r="AD194" s="2"/>
      <c r="AE194" s="2"/>
      <c r="AF194" s="46">
        <f t="shared" si="11"/>
        <v>4</v>
      </c>
      <c r="AG194" s="2"/>
    </row>
    <row r="195" spans="1:33" x14ac:dyDescent="0.45">
      <c r="A195" s="38" t="s">
        <v>54</v>
      </c>
      <c r="B195" s="43"/>
      <c r="C195" s="44"/>
      <c r="D195" s="42">
        <v>2</v>
      </c>
      <c r="E195" s="44"/>
      <c r="F195" s="44"/>
      <c r="G195" s="44"/>
      <c r="H195" s="44"/>
      <c r="I195" s="44"/>
      <c r="J195" s="44"/>
      <c r="K195" s="44"/>
      <c r="L195" s="44"/>
      <c r="M195" s="44"/>
      <c r="N195" s="44"/>
      <c r="O195" s="44"/>
      <c r="P195" s="44"/>
      <c r="Q195" s="44"/>
      <c r="R195" s="44"/>
      <c r="S195" s="44"/>
      <c r="T195" s="45"/>
      <c r="U195" s="44"/>
      <c r="V195" s="44"/>
      <c r="W195" s="44"/>
      <c r="X195" s="44"/>
      <c r="Y195" s="44"/>
      <c r="Z195" s="44"/>
      <c r="AA195" s="44"/>
      <c r="AB195" s="44"/>
      <c r="AC195" s="2"/>
      <c r="AD195" s="2"/>
      <c r="AE195" s="2"/>
      <c r="AF195" s="46">
        <f t="shared" si="11"/>
        <v>2</v>
      </c>
      <c r="AG195" s="2"/>
    </row>
    <row r="196" spans="1:33" x14ac:dyDescent="0.45">
      <c r="A196" s="38" t="s">
        <v>81</v>
      </c>
      <c r="B196" s="43"/>
      <c r="C196" s="44"/>
      <c r="D196" s="44"/>
      <c r="E196" s="44"/>
      <c r="F196" s="44"/>
      <c r="G196" s="44"/>
      <c r="H196" s="44"/>
      <c r="I196" s="44"/>
      <c r="J196" s="44"/>
      <c r="K196" s="44"/>
      <c r="L196" s="44"/>
      <c r="M196" s="44"/>
      <c r="N196" s="44"/>
      <c r="O196" s="44"/>
      <c r="P196" s="44"/>
      <c r="Q196" s="42">
        <v>2</v>
      </c>
      <c r="R196" s="44"/>
      <c r="S196" s="44"/>
      <c r="T196" s="45"/>
      <c r="U196" s="44"/>
      <c r="V196" s="44"/>
      <c r="W196" s="44"/>
      <c r="X196" s="44"/>
      <c r="Y196" s="44"/>
      <c r="Z196" s="44"/>
      <c r="AA196" s="44"/>
      <c r="AB196" s="44"/>
      <c r="AC196" s="2"/>
      <c r="AD196" s="2"/>
      <c r="AE196" s="2"/>
      <c r="AF196" s="46">
        <f t="shared" si="11"/>
        <v>2</v>
      </c>
      <c r="AG196" s="2"/>
    </row>
    <row r="197" spans="1:33" x14ac:dyDescent="0.45">
      <c r="A197" s="38" t="s">
        <v>52</v>
      </c>
      <c r="B197" s="43"/>
      <c r="C197" s="44"/>
      <c r="D197" s="45"/>
      <c r="E197" s="44"/>
      <c r="F197" s="44"/>
      <c r="G197" s="44"/>
      <c r="H197" s="44"/>
      <c r="I197" s="44"/>
      <c r="J197" s="44"/>
      <c r="K197" s="44"/>
      <c r="L197" s="44"/>
      <c r="M197" s="44"/>
      <c r="N197" s="44"/>
      <c r="O197" s="44"/>
      <c r="P197" s="44"/>
      <c r="Q197" s="44"/>
      <c r="R197" s="44"/>
      <c r="S197" s="44"/>
      <c r="T197" s="42">
        <v>1</v>
      </c>
      <c r="U197" s="44"/>
      <c r="V197" s="44"/>
      <c r="W197" s="44"/>
      <c r="X197" s="44"/>
      <c r="Y197" s="44"/>
      <c r="Z197" s="44"/>
      <c r="AA197" s="44"/>
      <c r="AB197" s="44"/>
      <c r="AC197" s="2"/>
      <c r="AD197" s="2"/>
      <c r="AE197" s="2"/>
      <c r="AF197" s="46">
        <f t="shared" si="11"/>
        <v>1</v>
      </c>
      <c r="AG197" s="2"/>
    </row>
    <row r="198" spans="1:33" x14ac:dyDescent="0.45">
      <c r="A198" s="38" t="s">
        <v>51</v>
      </c>
      <c r="B198" s="43"/>
      <c r="C198" s="44"/>
      <c r="D198" s="45"/>
      <c r="E198" s="44"/>
      <c r="F198" s="44"/>
      <c r="G198" s="44"/>
      <c r="H198" s="44"/>
      <c r="I198" s="44"/>
      <c r="J198" s="44"/>
      <c r="K198" s="44"/>
      <c r="L198" s="44"/>
      <c r="M198" s="44"/>
      <c r="N198" s="44"/>
      <c r="O198" s="44"/>
      <c r="P198" s="45"/>
      <c r="Q198" s="44"/>
      <c r="R198" s="44"/>
      <c r="S198" s="44"/>
      <c r="T198" s="42">
        <v>1</v>
      </c>
      <c r="U198" s="44"/>
      <c r="V198" s="44"/>
      <c r="W198" s="44"/>
      <c r="X198" s="44"/>
      <c r="Y198" s="44"/>
      <c r="Z198" s="44"/>
      <c r="AA198" s="44"/>
      <c r="AB198" s="44"/>
      <c r="AC198" s="2"/>
      <c r="AD198" s="2"/>
      <c r="AE198" s="2"/>
      <c r="AF198" s="46">
        <f t="shared" si="11"/>
        <v>1</v>
      </c>
      <c r="AG198" s="2"/>
    </row>
    <row r="199" spans="1:33" x14ac:dyDescent="0.45">
      <c r="A199" s="38" t="s">
        <v>13</v>
      </c>
      <c r="B199" s="43"/>
      <c r="C199" s="44"/>
      <c r="D199" s="42"/>
      <c r="E199" s="44"/>
      <c r="F199" s="44"/>
      <c r="G199" s="44"/>
      <c r="H199" s="44"/>
      <c r="I199" s="44"/>
      <c r="J199" s="44"/>
      <c r="K199" s="44"/>
      <c r="L199" s="45"/>
      <c r="M199" s="44"/>
      <c r="N199" s="45"/>
      <c r="O199" s="45"/>
      <c r="P199" s="59">
        <v>1</v>
      </c>
      <c r="Q199" s="45"/>
      <c r="R199" s="60"/>
      <c r="S199" s="45"/>
      <c r="T199" s="45"/>
      <c r="U199" s="60"/>
      <c r="V199" s="45"/>
      <c r="W199" s="45"/>
      <c r="X199" s="45"/>
      <c r="Y199" s="45"/>
      <c r="Z199" s="45"/>
      <c r="AA199" s="44"/>
      <c r="AB199" s="44"/>
      <c r="AC199" s="2"/>
      <c r="AD199" s="2"/>
      <c r="AE199" s="2"/>
      <c r="AF199" s="46">
        <f t="shared" si="11"/>
        <v>1</v>
      </c>
      <c r="AG199" s="2"/>
    </row>
    <row r="200" spans="1:33" x14ac:dyDescent="0.45">
      <c r="A200" s="54" t="s">
        <v>24</v>
      </c>
      <c r="B200" s="61">
        <f>SUM(B179:B199)</f>
        <v>38</v>
      </c>
      <c r="C200" s="61">
        <f t="shared" ref="C200:AE200" si="12">SUM(C179:C199)</f>
        <v>0</v>
      </c>
      <c r="D200" s="61">
        <f t="shared" si="12"/>
        <v>45</v>
      </c>
      <c r="E200" s="61">
        <f t="shared" si="12"/>
        <v>6</v>
      </c>
      <c r="F200" s="61">
        <f t="shared" si="12"/>
        <v>250</v>
      </c>
      <c r="G200" s="61">
        <f t="shared" si="12"/>
        <v>92</v>
      </c>
      <c r="H200" s="61">
        <f t="shared" si="12"/>
        <v>295</v>
      </c>
      <c r="I200" s="61">
        <f t="shared" si="12"/>
        <v>727</v>
      </c>
      <c r="J200" s="61">
        <f t="shared" si="12"/>
        <v>973</v>
      </c>
      <c r="K200" s="61">
        <f t="shared" si="12"/>
        <v>2119</v>
      </c>
      <c r="L200" s="61">
        <f t="shared" si="12"/>
        <v>2834</v>
      </c>
      <c r="M200" s="61">
        <f t="shared" si="12"/>
        <v>14605</v>
      </c>
      <c r="N200" s="61">
        <f t="shared" si="12"/>
        <v>12182</v>
      </c>
      <c r="O200" s="61">
        <f t="shared" si="12"/>
        <v>13422</v>
      </c>
      <c r="P200" s="61">
        <f t="shared" si="12"/>
        <v>18459</v>
      </c>
      <c r="Q200" s="61">
        <f t="shared" si="12"/>
        <v>19247</v>
      </c>
      <c r="R200" s="61">
        <f t="shared" si="12"/>
        <v>17060</v>
      </c>
      <c r="S200" s="61">
        <f t="shared" si="12"/>
        <v>9715</v>
      </c>
      <c r="T200" s="61">
        <f t="shared" si="12"/>
        <v>9897</v>
      </c>
      <c r="U200" s="61">
        <f t="shared" si="12"/>
        <v>8755</v>
      </c>
      <c r="V200" s="61">
        <f t="shared" si="12"/>
        <v>6432</v>
      </c>
      <c r="W200" s="61">
        <f t="shared" si="12"/>
        <v>6631</v>
      </c>
      <c r="X200" s="61">
        <f t="shared" si="12"/>
        <v>4804</v>
      </c>
      <c r="Y200" s="61">
        <f t="shared" si="12"/>
        <v>7903</v>
      </c>
      <c r="Z200" s="61">
        <f t="shared" si="12"/>
        <v>7823</v>
      </c>
      <c r="AA200" s="61">
        <f t="shared" si="12"/>
        <v>524</v>
      </c>
      <c r="AB200" s="61">
        <f t="shared" si="12"/>
        <v>0</v>
      </c>
      <c r="AC200" s="61">
        <f t="shared" si="12"/>
        <v>0</v>
      </c>
      <c r="AD200" s="61">
        <f t="shared" si="12"/>
        <v>0</v>
      </c>
      <c r="AE200" s="61">
        <f t="shared" si="12"/>
        <v>31</v>
      </c>
      <c r="AF200" s="46">
        <f t="shared" si="11"/>
        <v>164869</v>
      </c>
      <c r="AG200" s="2"/>
    </row>
    <row r="201" spans="1:33" x14ac:dyDescent="0.45">
      <c r="A201" s="38"/>
      <c r="B201" s="38"/>
      <c r="C201" s="40"/>
      <c r="D201" s="5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1:33" x14ac:dyDescent="0.45">
      <c r="A202" s="38"/>
      <c r="B202" s="38"/>
      <c r="C202" s="40"/>
      <c r="D202" s="5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1:33" x14ac:dyDescent="0.45">
      <c r="A203" s="51">
        <v>1993</v>
      </c>
      <c r="B203" s="38"/>
      <c r="C203" s="40"/>
      <c r="D203" s="5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1:33" x14ac:dyDescent="0.45">
      <c r="A204" s="76" t="s">
        <v>82</v>
      </c>
      <c r="B204" s="38"/>
      <c r="C204" s="40"/>
      <c r="D204" s="5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1:33" x14ac:dyDescent="0.45">
      <c r="A205" s="2"/>
      <c r="B205" s="39">
        <v>34081</v>
      </c>
      <c r="C205" s="39">
        <v>34082</v>
      </c>
      <c r="D205" s="39">
        <v>34083</v>
      </c>
      <c r="E205" s="39">
        <v>34084</v>
      </c>
      <c r="F205" s="39">
        <v>34085</v>
      </c>
      <c r="G205" s="39">
        <v>34086</v>
      </c>
      <c r="H205" s="40">
        <v>34087</v>
      </c>
      <c r="I205" s="40">
        <v>34088</v>
      </c>
      <c r="J205" s="40">
        <v>34089</v>
      </c>
      <c r="K205" s="40">
        <v>34090</v>
      </c>
      <c r="L205" s="40">
        <v>34091</v>
      </c>
      <c r="M205" s="40">
        <v>34092</v>
      </c>
      <c r="N205" s="40">
        <v>34093</v>
      </c>
      <c r="O205" s="40">
        <v>34094</v>
      </c>
      <c r="P205" s="40">
        <v>34095</v>
      </c>
      <c r="Q205" s="40">
        <v>34096</v>
      </c>
      <c r="R205" s="40">
        <v>33732</v>
      </c>
      <c r="S205" s="40">
        <v>34098</v>
      </c>
      <c r="T205" s="40">
        <v>34099</v>
      </c>
      <c r="U205" s="40">
        <v>34100</v>
      </c>
      <c r="V205" s="40">
        <v>34101</v>
      </c>
      <c r="W205" s="40">
        <v>34102</v>
      </c>
      <c r="X205" s="40">
        <v>34103</v>
      </c>
      <c r="Y205" s="40">
        <v>34104</v>
      </c>
      <c r="Z205" s="40">
        <v>34105</v>
      </c>
      <c r="AA205" s="40">
        <v>34106</v>
      </c>
      <c r="AB205" s="40">
        <v>34107</v>
      </c>
      <c r="AC205" s="39">
        <v>34108</v>
      </c>
      <c r="AD205" s="39">
        <v>34109</v>
      </c>
      <c r="AE205" s="39">
        <v>34110</v>
      </c>
      <c r="AF205" s="55" t="s">
        <v>24</v>
      </c>
      <c r="AG205" s="2"/>
    </row>
    <row r="206" spans="1:33" x14ac:dyDescent="0.45">
      <c r="A206" s="38" t="s">
        <v>11</v>
      </c>
      <c r="B206" s="46"/>
      <c r="C206" s="43"/>
      <c r="D206" s="43"/>
      <c r="E206" s="44"/>
      <c r="F206" s="44"/>
      <c r="G206" s="42">
        <v>20</v>
      </c>
      <c r="H206" s="44"/>
      <c r="I206" s="44"/>
      <c r="J206" s="44"/>
      <c r="K206" s="44"/>
      <c r="L206" s="43">
        <v>3000</v>
      </c>
      <c r="M206" s="43">
        <v>2500</v>
      </c>
      <c r="N206" s="43">
        <v>3500</v>
      </c>
      <c r="O206" s="43">
        <v>5000</v>
      </c>
      <c r="P206" s="43">
        <v>5500</v>
      </c>
      <c r="Q206" s="43">
        <v>7000</v>
      </c>
      <c r="R206" s="43">
        <v>8000</v>
      </c>
      <c r="S206" s="43">
        <v>8000</v>
      </c>
      <c r="T206" s="43">
        <v>2000</v>
      </c>
      <c r="U206" s="43">
        <v>1000</v>
      </c>
      <c r="V206" s="43">
        <v>100</v>
      </c>
      <c r="W206" s="43">
        <v>3500</v>
      </c>
      <c r="X206" s="43">
        <v>2000</v>
      </c>
      <c r="Y206" s="43">
        <v>2500</v>
      </c>
      <c r="Z206" s="42">
        <v>700</v>
      </c>
      <c r="AA206" s="42">
        <v>100</v>
      </c>
      <c r="AB206" s="42">
        <v>380</v>
      </c>
      <c r="AC206" s="2"/>
      <c r="AD206" s="2"/>
      <c r="AE206" s="2"/>
      <c r="AF206" s="46">
        <f t="shared" ref="AF206:AF227" si="13">SUM(B206:AE206)</f>
        <v>54800</v>
      </c>
      <c r="AG206" s="2"/>
    </row>
    <row r="207" spans="1:33" x14ac:dyDescent="0.45">
      <c r="A207" s="38" t="s">
        <v>79</v>
      </c>
      <c r="B207" s="46"/>
      <c r="C207" s="43"/>
      <c r="D207" s="43"/>
      <c r="E207" s="42">
        <v>90</v>
      </c>
      <c r="F207" s="44"/>
      <c r="G207" s="44"/>
      <c r="H207" s="44"/>
      <c r="I207" s="44"/>
      <c r="J207" s="44"/>
      <c r="K207" s="44"/>
      <c r="L207" s="43">
        <v>90</v>
      </c>
      <c r="M207" s="42">
        <v>400</v>
      </c>
      <c r="N207" s="43">
        <v>400</v>
      </c>
      <c r="O207" s="43">
        <v>600</v>
      </c>
      <c r="P207" s="43">
        <v>600</v>
      </c>
      <c r="Q207" s="43">
        <v>600</v>
      </c>
      <c r="R207" s="43">
        <v>600</v>
      </c>
      <c r="S207" s="42">
        <v>500</v>
      </c>
      <c r="T207" s="42">
        <v>600</v>
      </c>
      <c r="U207" s="43">
        <v>600</v>
      </c>
      <c r="V207" s="42">
        <v>600</v>
      </c>
      <c r="W207" s="42">
        <v>400</v>
      </c>
      <c r="X207" s="42">
        <v>50</v>
      </c>
      <c r="Y207" s="44"/>
      <c r="Z207" s="44"/>
      <c r="AA207" s="44"/>
      <c r="AB207" s="44"/>
      <c r="AC207" s="2"/>
      <c r="AD207" s="2"/>
      <c r="AE207" s="2"/>
      <c r="AF207" s="46">
        <f t="shared" si="13"/>
        <v>6130</v>
      </c>
      <c r="AG207" s="2"/>
    </row>
    <row r="208" spans="1:33" x14ac:dyDescent="0.45">
      <c r="A208" s="38" t="s">
        <v>14</v>
      </c>
      <c r="B208" s="43">
        <v>1</v>
      </c>
      <c r="C208" s="43"/>
      <c r="D208" s="43"/>
      <c r="E208" s="44"/>
      <c r="F208" s="44"/>
      <c r="G208" s="44"/>
      <c r="H208" s="44"/>
      <c r="I208" s="44"/>
      <c r="J208" s="44"/>
      <c r="K208" s="44"/>
      <c r="L208" s="43">
        <v>250</v>
      </c>
      <c r="M208" s="43">
        <v>250</v>
      </c>
      <c r="N208" s="43">
        <v>500</v>
      </c>
      <c r="O208" s="43">
        <v>500</v>
      </c>
      <c r="P208" s="43">
        <v>550</v>
      </c>
      <c r="Q208" s="43">
        <v>550</v>
      </c>
      <c r="R208" s="43">
        <v>800</v>
      </c>
      <c r="S208" s="43">
        <v>800</v>
      </c>
      <c r="T208" s="43">
        <v>100</v>
      </c>
      <c r="U208" s="43">
        <v>10</v>
      </c>
      <c r="V208" s="43">
        <v>10</v>
      </c>
      <c r="W208" s="43">
        <v>20</v>
      </c>
      <c r="X208" s="43">
        <v>10</v>
      </c>
      <c r="Y208" s="43">
        <v>10</v>
      </c>
      <c r="Z208" s="43">
        <v>2</v>
      </c>
      <c r="AA208" s="43">
        <v>10</v>
      </c>
      <c r="AB208" s="43">
        <v>20</v>
      </c>
      <c r="AC208" s="2"/>
      <c r="AD208" s="2"/>
      <c r="AE208" s="2"/>
      <c r="AF208" s="46">
        <f t="shared" si="13"/>
        <v>4393</v>
      </c>
      <c r="AG208" s="2"/>
    </row>
    <row r="209" spans="1:33" x14ac:dyDescent="0.45">
      <c r="A209" s="38" t="s">
        <v>80</v>
      </c>
      <c r="B209" s="46"/>
      <c r="C209" s="43"/>
      <c r="D209" s="43"/>
      <c r="E209" s="44"/>
      <c r="F209" s="44"/>
      <c r="G209" s="44">
        <v>4</v>
      </c>
      <c r="H209" s="44"/>
      <c r="I209" s="44"/>
      <c r="J209" s="44"/>
      <c r="K209" s="44"/>
      <c r="L209" s="42">
        <v>150</v>
      </c>
      <c r="M209" s="42">
        <v>200</v>
      </c>
      <c r="N209" s="42">
        <v>400</v>
      </c>
      <c r="O209" s="42">
        <v>400</v>
      </c>
      <c r="P209" s="43">
        <v>400</v>
      </c>
      <c r="Q209" s="42">
        <v>300</v>
      </c>
      <c r="R209" s="43">
        <v>600</v>
      </c>
      <c r="S209" s="43">
        <v>500</v>
      </c>
      <c r="T209" s="42">
        <v>200</v>
      </c>
      <c r="U209" s="42">
        <v>100</v>
      </c>
      <c r="V209" s="43">
        <v>30</v>
      </c>
      <c r="W209" s="43">
        <v>22</v>
      </c>
      <c r="X209" s="42">
        <v>10</v>
      </c>
      <c r="Y209" s="42">
        <v>12</v>
      </c>
      <c r="Z209" s="44"/>
      <c r="AA209" s="45"/>
      <c r="AB209" s="44"/>
      <c r="AC209" s="2"/>
      <c r="AD209" s="2"/>
      <c r="AE209" s="2"/>
      <c r="AF209" s="46">
        <f t="shared" si="13"/>
        <v>3328</v>
      </c>
      <c r="AG209" s="2"/>
    </row>
    <row r="210" spans="1:33" x14ac:dyDescent="0.45">
      <c r="A210" s="38" t="s">
        <v>15</v>
      </c>
      <c r="B210" s="46"/>
      <c r="C210" s="43"/>
      <c r="D210" s="43"/>
      <c r="E210" s="42">
        <v>3</v>
      </c>
      <c r="F210" s="44"/>
      <c r="G210" s="44"/>
      <c r="H210" s="44"/>
      <c r="I210" s="44"/>
      <c r="J210" s="44"/>
      <c r="K210" s="44"/>
      <c r="L210" s="43">
        <v>50</v>
      </c>
      <c r="M210" s="43">
        <v>250</v>
      </c>
      <c r="N210" s="43">
        <v>30</v>
      </c>
      <c r="O210" s="43">
        <v>200</v>
      </c>
      <c r="P210" s="43">
        <v>250</v>
      </c>
      <c r="Q210" s="43">
        <v>200</v>
      </c>
      <c r="R210" s="43">
        <v>600</v>
      </c>
      <c r="S210" s="42">
        <v>200</v>
      </c>
      <c r="T210" s="42">
        <v>100</v>
      </c>
      <c r="U210" s="43">
        <v>50</v>
      </c>
      <c r="V210" s="43">
        <v>50</v>
      </c>
      <c r="W210" s="43">
        <v>150</v>
      </c>
      <c r="X210" s="43">
        <v>75</v>
      </c>
      <c r="Y210" s="43">
        <v>50</v>
      </c>
      <c r="Z210" s="43">
        <v>25</v>
      </c>
      <c r="AA210" s="43">
        <v>10</v>
      </c>
      <c r="AB210" s="43">
        <v>20</v>
      </c>
      <c r="AC210" s="2"/>
      <c r="AD210" s="2"/>
      <c r="AE210" s="2"/>
      <c r="AF210" s="46">
        <f t="shared" si="13"/>
        <v>2313</v>
      </c>
      <c r="AG210" s="2"/>
    </row>
    <row r="211" spans="1:33" x14ac:dyDescent="0.45">
      <c r="A211" s="38" t="s">
        <v>2</v>
      </c>
      <c r="B211" s="43">
        <v>5</v>
      </c>
      <c r="C211" s="43"/>
      <c r="D211" s="43"/>
      <c r="E211" s="45"/>
      <c r="F211" s="44"/>
      <c r="G211" s="44"/>
      <c r="H211" s="44"/>
      <c r="I211" s="44"/>
      <c r="J211" s="44"/>
      <c r="K211" s="44"/>
      <c r="L211" s="43">
        <v>10</v>
      </c>
      <c r="M211" s="45"/>
      <c r="N211" s="43">
        <v>10</v>
      </c>
      <c r="O211" s="43">
        <v>10</v>
      </c>
      <c r="P211" s="43">
        <v>50</v>
      </c>
      <c r="Q211" s="43">
        <v>50</v>
      </c>
      <c r="R211" s="43">
        <v>40</v>
      </c>
      <c r="S211" s="45"/>
      <c r="T211" s="45"/>
      <c r="U211" s="43">
        <v>1</v>
      </c>
      <c r="V211" s="45"/>
      <c r="W211" s="45"/>
      <c r="X211" s="45"/>
      <c r="Y211" s="45"/>
      <c r="Z211" s="45"/>
      <c r="AA211" s="45"/>
      <c r="AB211" s="45"/>
      <c r="AC211" s="2"/>
      <c r="AD211" s="2"/>
      <c r="AE211" s="2"/>
      <c r="AF211" s="46">
        <f t="shared" si="13"/>
        <v>176</v>
      </c>
      <c r="AG211" s="2"/>
    </row>
    <row r="212" spans="1:33" x14ac:dyDescent="0.45">
      <c r="A212" s="38" t="s">
        <v>1</v>
      </c>
      <c r="B212" s="46"/>
      <c r="C212" s="43"/>
      <c r="D212" s="43"/>
      <c r="E212" s="45"/>
      <c r="F212" s="44"/>
      <c r="G212" s="44"/>
      <c r="H212" s="44"/>
      <c r="I212" s="44"/>
      <c r="J212" s="44"/>
      <c r="K212" s="44"/>
      <c r="L212" s="43">
        <v>4</v>
      </c>
      <c r="M212" s="43">
        <v>4</v>
      </c>
      <c r="N212" s="43">
        <v>4</v>
      </c>
      <c r="O212" s="43">
        <v>2</v>
      </c>
      <c r="P212" s="43">
        <v>10</v>
      </c>
      <c r="Q212" s="43">
        <v>40</v>
      </c>
      <c r="R212" s="43">
        <v>40</v>
      </c>
      <c r="S212" s="45"/>
      <c r="T212" s="45"/>
      <c r="U212" s="43">
        <v>6</v>
      </c>
      <c r="V212" s="43">
        <v>6</v>
      </c>
      <c r="W212" s="43">
        <v>6</v>
      </c>
      <c r="X212" s="43">
        <v>6</v>
      </c>
      <c r="Y212" s="42">
        <v>6</v>
      </c>
      <c r="Z212" s="42">
        <v>6</v>
      </c>
      <c r="AA212" s="42">
        <v>6</v>
      </c>
      <c r="AB212" s="42">
        <v>18</v>
      </c>
      <c r="AC212" s="2"/>
      <c r="AD212" s="2"/>
      <c r="AE212" s="2"/>
      <c r="AF212" s="46">
        <f t="shared" si="13"/>
        <v>164</v>
      </c>
      <c r="AG212" s="2"/>
    </row>
    <row r="213" spans="1:33" x14ac:dyDescent="0.45">
      <c r="A213" s="38" t="s">
        <v>12</v>
      </c>
      <c r="B213" s="43"/>
      <c r="C213" s="45"/>
      <c r="D213" s="43"/>
      <c r="E213" s="44"/>
      <c r="F213" s="44"/>
      <c r="G213" s="45"/>
      <c r="H213" s="44"/>
      <c r="I213" s="44"/>
      <c r="J213" s="44"/>
      <c r="K213" s="44"/>
      <c r="L213" s="45"/>
      <c r="M213" s="45"/>
      <c r="N213" s="45"/>
      <c r="O213" s="45"/>
      <c r="P213" s="43">
        <v>2</v>
      </c>
      <c r="Q213" s="43">
        <v>30</v>
      </c>
      <c r="R213" s="43">
        <v>40</v>
      </c>
      <c r="S213" s="43">
        <v>40</v>
      </c>
      <c r="T213" s="45"/>
      <c r="U213" s="45"/>
      <c r="V213" s="45"/>
      <c r="W213" s="45"/>
      <c r="X213" s="45"/>
      <c r="Y213" s="45"/>
      <c r="Z213" s="45"/>
      <c r="AA213" s="45"/>
      <c r="AB213" s="45"/>
      <c r="AC213" s="2"/>
      <c r="AD213" s="2"/>
      <c r="AE213" s="2"/>
      <c r="AF213" s="46">
        <f t="shared" si="13"/>
        <v>112</v>
      </c>
      <c r="AG213" s="2"/>
    </row>
    <row r="214" spans="1:33" x14ac:dyDescent="0.45">
      <c r="A214" s="38" t="s">
        <v>7</v>
      </c>
      <c r="B214" s="43"/>
      <c r="C214" s="42"/>
      <c r="D214" s="45"/>
      <c r="E214" s="44"/>
      <c r="F214" s="44"/>
      <c r="G214" s="44"/>
      <c r="H214" s="44"/>
      <c r="I214" s="44"/>
      <c r="J214" s="44"/>
      <c r="K214" s="44"/>
      <c r="L214" s="44"/>
      <c r="M214" s="44"/>
      <c r="N214" s="44"/>
      <c r="O214" s="44"/>
      <c r="P214" s="44"/>
      <c r="Q214" s="44"/>
      <c r="R214" s="43">
        <v>23</v>
      </c>
      <c r="S214" s="44"/>
      <c r="T214" s="44"/>
      <c r="U214" s="44"/>
      <c r="V214" s="44"/>
      <c r="W214" s="44"/>
      <c r="X214" s="44"/>
      <c r="Y214" s="44"/>
      <c r="Z214" s="44">
        <v>1</v>
      </c>
      <c r="AA214" s="44"/>
      <c r="AB214" s="44"/>
      <c r="AC214" s="2"/>
      <c r="AD214" s="2"/>
      <c r="AE214" s="2"/>
      <c r="AF214" s="46">
        <f t="shared" si="13"/>
        <v>24</v>
      </c>
      <c r="AG214" s="2"/>
    </row>
    <row r="215" spans="1:33" x14ac:dyDescent="0.45">
      <c r="A215" s="38" t="s">
        <v>3</v>
      </c>
      <c r="B215" s="46"/>
      <c r="C215" s="42"/>
      <c r="D215" s="43"/>
      <c r="E215" s="44"/>
      <c r="F215" s="44"/>
      <c r="G215" s="44"/>
      <c r="H215" s="44"/>
      <c r="I215" s="44"/>
      <c r="J215" s="44"/>
      <c r="K215" s="44"/>
      <c r="L215" s="44"/>
      <c r="M215" s="44"/>
      <c r="N215" s="44"/>
      <c r="O215" s="44"/>
      <c r="P215" s="42">
        <v>4</v>
      </c>
      <c r="Q215" s="45"/>
      <c r="R215" s="43">
        <v>3</v>
      </c>
      <c r="S215" s="43">
        <v>2</v>
      </c>
      <c r="T215" s="44"/>
      <c r="U215" s="44"/>
      <c r="V215" s="42">
        <v>1</v>
      </c>
      <c r="W215" s="42">
        <v>2</v>
      </c>
      <c r="X215" s="44"/>
      <c r="Y215" s="44"/>
      <c r="Z215" s="44"/>
      <c r="AA215" s="42">
        <v>2</v>
      </c>
      <c r="AB215" s="44"/>
      <c r="AC215" s="2"/>
      <c r="AD215" s="2"/>
      <c r="AE215" s="2"/>
      <c r="AF215" s="46">
        <f t="shared" si="13"/>
        <v>14</v>
      </c>
      <c r="AG215" s="2"/>
    </row>
    <row r="216" spans="1:33" x14ac:dyDescent="0.45">
      <c r="A216" s="38" t="s">
        <v>8</v>
      </c>
      <c r="B216" s="43"/>
      <c r="C216" s="43"/>
      <c r="D216" s="45"/>
      <c r="E216" s="44"/>
      <c r="F216" s="44"/>
      <c r="G216" s="44"/>
      <c r="H216" s="44"/>
      <c r="I216" s="44"/>
      <c r="J216" s="44"/>
      <c r="K216" s="44"/>
      <c r="L216" s="44"/>
      <c r="M216" s="44"/>
      <c r="N216" s="44"/>
      <c r="O216" s="44"/>
      <c r="P216" s="42">
        <v>1</v>
      </c>
      <c r="Q216" s="42">
        <v>1</v>
      </c>
      <c r="R216" s="42">
        <v>1</v>
      </c>
      <c r="S216" s="42">
        <v>1</v>
      </c>
      <c r="T216" s="44"/>
      <c r="U216" s="44"/>
      <c r="V216" s="44"/>
      <c r="W216" s="42">
        <v>6</v>
      </c>
      <c r="X216" s="42">
        <v>3</v>
      </c>
      <c r="Y216" s="45"/>
      <c r="Z216" s="44"/>
      <c r="AA216" s="44"/>
      <c r="AB216" s="44"/>
      <c r="AC216" s="2"/>
      <c r="AD216" s="2"/>
      <c r="AE216" s="2"/>
      <c r="AF216" s="46">
        <f t="shared" si="13"/>
        <v>13</v>
      </c>
      <c r="AG216" s="2"/>
    </row>
    <row r="217" spans="1:33" x14ac:dyDescent="0.45">
      <c r="A217" s="38" t="s">
        <v>53</v>
      </c>
      <c r="B217" s="43"/>
      <c r="C217" s="43"/>
      <c r="D217" s="45"/>
      <c r="E217" s="44"/>
      <c r="F217" s="44"/>
      <c r="G217" s="44"/>
      <c r="H217" s="44"/>
      <c r="I217" s="44"/>
      <c r="J217" s="44"/>
      <c r="K217" s="44"/>
      <c r="L217" s="44"/>
      <c r="M217" s="44"/>
      <c r="N217" s="44"/>
      <c r="O217" s="42">
        <v>1</v>
      </c>
      <c r="P217" s="42">
        <v>1</v>
      </c>
      <c r="Q217" s="43">
        <v>6</v>
      </c>
      <c r="R217" s="43">
        <v>1</v>
      </c>
      <c r="S217" s="44"/>
      <c r="T217" s="44"/>
      <c r="U217" s="44"/>
      <c r="V217" s="44"/>
      <c r="W217" s="44"/>
      <c r="X217" s="44">
        <v>1</v>
      </c>
      <c r="Y217" s="44"/>
      <c r="Z217" s="44"/>
      <c r="AA217" s="44">
        <v>1</v>
      </c>
      <c r="AB217" s="44"/>
      <c r="AC217" s="2"/>
      <c r="AD217" s="2"/>
      <c r="AE217" s="2"/>
      <c r="AF217" s="46">
        <f t="shared" si="13"/>
        <v>11</v>
      </c>
      <c r="AG217" s="2"/>
    </row>
    <row r="218" spans="1:33" x14ac:dyDescent="0.45">
      <c r="A218" s="38" t="s">
        <v>46</v>
      </c>
      <c r="B218" s="43"/>
      <c r="C218" s="42"/>
      <c r="D218" s="45"/>
      <c r="E218" s="44"/>
      <c r="F218" s="44"/>
      <c r="G218" s="44"/>
      <c r="H218" s="44"/>
      <c r="I218" s="44"/>
      <c r="J218" s="44"/>
      <c r="K218" s="44"/>
      <c r="L218" s="44"/>
      <c r="M218" s="44"/>
      <c r="N218" s="44"/>
      <c r="O218" s="42">
        <v>1</v>
      </c>
      <c r="P218" s="45"/>
      <c r="Q218" s="43">
        <v>1</v>
      </c>
      <c r="R218" s="43">
        <v>6</v>
      </c>
      <c r="S218" s="45"/>
      <c r="T218" s="44"/>
      <c r="U218" s="44"/>
      <c r="V218" s="44"/>
      <c r="W218" s="42">
        <v>1</v>
      </c>
      <c r="X218" s="44"/>
      <c r="Y218" s="44"/>
      <c r="Z218" s="44"/>
      <c r="AA218" s="44"/>
      <c r="AB218" s="44"/>
      <c r="AC218" s="2"/>
      <c r="AD218" s="2"/>
      <c r="AE218" s="2"/>
      <c r="AF218" s="46">
        <f t="shared" si="13"/>
        <v>9</v>
      </c>
      <c r="AG218" s="2"/>
    </row>
    <row r="219" spans="1:33" x14ac:dyDescent="0.45">
      <c r="A219" s="38" t="s">
        <v>44</v>
      </c>
      <c r="B219" s="43"/>
      <c r="C219" s="43"/>
      <c r="D219" s="45"/>
      <c r="E219" s="44"/>
      <c r="F219" s="44"/>
      <c r="G219" s="44"/>
      <c r="H219" s="44"/>
      <c r="I219" s="44"/>
      <c r="J219" s="44"/>
      <c r="K219" s="44"/>
      <c r="L219" s="44"/>
      <c r="M219" s="42">
        <v>1</v>
      </c>
      <c r="N219" s="44"/>
      <c r="O219" s="44"/>
      <c r="P219" s="42">
        <v>1</v>
      </c>
      <c r="Q219" s="42">
        <v>6</v>
      </c>
      <c r="R219" s="44"/>
      <c r="S219" s="44"/>
      <c r="T219" s="44"/>
      <c r="U219" s="44"/>
      <c r="V219" s="44"/>
      <c r="W219" s="44"/>
      <c r="X219" s="44"/>
      <c r="Y219" s="44"/>
      <c r="Z219" s="44"/>
      <c r="AA219" s="44"/>
      <c r="AB219" s="44"/>
      <c r="AC219" s="2"/>
      <c r="AD219" s="2"/>
      <c r="AE219" s="2"/>
      <c r="AF219" s="46">
        <f t="shared" si="13"/>
        <v>8</v>
      </c>
      <c r="AG219" s="2"/>
    </row>
    <row r="220" spans="1:33" x14ac:dyDescent="0.45">
      <c r="A220" s="38" t="s">
        <v>52</v>
      </c>
      <c r="B220" s="43"/>
      <c r="C220" s="45"/>
      <c r="D220" s="43"/>
      <c r="E220" s="44"/>
      <c r="F220" s="44"/>
      <c r="G220" s="44"/>
      <c r="H220" s="44"/>
      <c r="I220" s="44"/>
      <c r="J220" s="44"/>
      <c r="K220" s="44"/>
      <c r="L220" s="44"/>
      <c r="M220" s="44"/>
      <c r="N220" s="44"/>
      <c r="O220" s="44"/>
      <c r="P220" s="44"/>
      <c r="Q220" s="42">
        <v>1</v>
      </c>
      <c r="R220" s="43">
        <v>2</v>
      </c>
      <c r="S220" s="42">
        <v>2</v>
      </c>
      <c r="T220" s="44"/>
      <c r="U220" s="44"/>
      <c r="V220" s="44"/>
      <c r="W220" s="44"/>
      <c r="X220" s="44"/>
      <c r="Y220" s="44"/>
      <c r="Z220" s="44"/>
      <c r="AA220" s="44"/>
      <c r="AB220" s="44"/>
      <c r="AC220" s="2"/>
      <c r="AD220" s="2"/>
      <c r="AE220" s="2"/>
      <c r="AF220" s="46">
        <f t="shared" si="13"/>
        <v>5</v>
      </c>
      <c r="AG220" s="2"/>
    </row>
    <row r="221" spans="1:33" x14ac:dyDescent="0.45">
      <c r="A221" s="38" t="s">
        <v>84</v>
      </c>
      <c r="B221" s="43"/>
      <c r="C221" s="43"/>
      <c r="D221" s="42"/>
      <c r="E221" s="44"/>
      <c r="F221" s="44"/>
      <c r="G221" s="44"/>
      <c r="H221" s="44"/>
      <c r="I221" s="44"/>
      <c r="J221" s="44"/>
      <c r="K221" s="44"/>
      <c r="L221" s="44"/>
      <c r="M221" s="44"/>
      <c r="N221" s="44"/>
      <c r="O221" s="45"/>
      <c r="P221" s="45"/>
      <c r="Q221" s="45"/>
      <c r="R221" s="43">
        <v>5</v>
      </c>
      <c r="S221" s="44"/>
      <c r="T221" s="44"/>
      <c r="U221" s="44"/>
      <c r="V221" s="44"/>
      <c r="W221" s="44"/>
      <c r="X221" s="44"/>
      <c r="Y221" s="44"/>
      <c r="Z221" s="44"/>
      <c r="AA221" s="44"/>
      <c r="AB221" s="44"/>
      <c r="AC221" s="2"/>
      <c r="AD221" s="2"/>
      <c r="AE221" s="2"/>
      <c r="AF221" s="46">
        <f t="shared" si="13"/>
        <v>5</v>
      </c>
      <c r="AG221" s="2"/>
    </row>
    <row r="222" spans="1:33" x14ac:dyDescent="0.45">
      <c r="A222" s="38" t="s">
        <v>40</v>
      </c>
      <c r="B222" s="43"/>
      <c r="C222" s="43"/>
      <c r="D222" s="44"/>
      <c r="E222" s="44"/>
      <c r="F222" s="44"/>
      <c r="G222" s="44"/>
      <c r="H222" s="44"/>
      <c r="I222" s="44"/>
      <c r="J222" s="44"/>
      <c r="K222" s="44"/>
      <c r="L222" s="44"/>
      <c r="M222" s="44"/>
      <c r="N222" s="44"/>
      <c r="O222" s="44"/>
      <c r="P222" s="43">
        <v>2</v>
      </c>
      <c r="Q222" s="43">
        <v>2</v>
      </c>
      <c r="R222" s="44"/>
      <c r="S222" s="44"/>
      <c r="T222" s="44"/>
      <c r="U222" s="44"/>
      <c r="V222" s="44"/>
      <c r="W222" s="44"/>
      <c r="X222" s="44"/>
      <c r="Y222" s="44"/>
      <c r="Z222" s="44"/>
      <c r="AA222" s="44"/>
      <c r="AB222" s="44"/>
      <c r="AC222" s="2"/>
      <c r="AD222" s="2"/>
      <c r="AE222" s="2"/>
      <c r="AF222" s="46">
        <f t="shared" si="13"/>
        <v>4</v>
      </c>
      <c r="AG222" s="2"/>
    </row>
    <row r="223" spans="1:33" x14ac:dyDescent="0.45">
      <c r="A223" s="38" t="s">
        <v>51</v>
      </c>
      <c r="B223" s="43"/>
      <c r="C223" s="43"/>
      <c r="D223" s="42"/>
      <c r="E223" s="44"/>
      <c r="F223" s="44"/>
      <c r="G223" s="44"/>
      <c r="H223" s="44"/>
      <c r="I223" s="44"/>
      <c r="J223" s="44"/>
      <c r="K223" s="44"/>
      <c r="L223" s="44"/>
      <c r="M223" s="45"/>
      <c r="N223" s="44"/>
      <c r="O223" s="44"/>
      <c r="P223" s="45"/>
      <c r="Q223" s="43">
        <v>2</v>
      </c>
      <c r="R223" s="42">
        <v>1</v>
      </c>
      <c r="S223" s="44"/>
      <c r="T223" s="44"/>
      <c r="U223" s="44"/>
      <c r="V223" s="44"/>
      <c r="W223" s="44"/>
      <c r="X223" s="44"/>
      <c r="Y223" s="44"/>
      <c r="Z223" s="44"/>
      <c r="AA223" s="44"/>
      <c r="AB223" s="44"/>
      <c r="AC223" s="2"/>
      <c r="AD223" s="2"/>
      <c r="AE223" s="2"/>
      <c r="AF223" s="46">
        <f t="shared" si="13"/>
        <v>3</v>
      </c>
      <c r="AG223" s="2"/>
    </row>
    <row r="224" spans="1:33" x14ac:dyDescent="0.45">
      <c r="A224" s="38" t="s">
        <v>45</v>
      </c>
      <c r="B224" s="43"/>
      <c r="C224" s="45"/>
      <c r="D224" s="42"/>
      <c r="E224" s="44"/>
      <c r="F224" s="44"/>
      <c r="G224" s="44"/>
      <c r="H224" s="44"/>
      <c r="I224" s="44"/>
      <c r="J224" s="44"/>
      <c r="K224" s="44"/>
      <c r="L224" s="44"/>
      <c r="M224" s="44"/>
      <c r="N224" s="44"/>
      <c r="O224" s="45"/>
      <c r="P224" s="44"/>
      <c r="Q224" s="45"/>
      <c r="R224" s="43">
        <v>2</v>
      </c>
      <c r="S224" s="44"/>
      <c r="T224" s="44"/>
      <c r="U224" s="44"/>
      <c r="V224" s="44"/>
      <c r="W224" s="45"/>
      <c r="X224" s="44"/>
      <c r="Y224" s="44"/>
      <c r="Z224" s="44"/>
      <c r="AA224" s="44"/>
      <c r="AB224" s="44"/>
      <c r="AC224" s="2"/>
      <c r="AD224" s="2"/>
      <c r="AE224" s="2"/>
      <c r="AF224" s="46">
        <f t="shared" si="13"/>
        <v>2</v>
      </c>
      <c r="AG224" s="2"/>
    </row>
    <row r="225" spans="1:33" x14ac:dyDescent="0.45">
      <c r="A225" s="38" t="s">
        <v>42</v>
      </c>
      <c r="B225" s="43"/>
      <c r="C225" s="43"/>
      <c r="D225" s="42"/>
      <c r="E225" s="44"/>
      <c r="F225" s="44"/>
      <c r="G225" s="44"/>
      <c r="H225" s="44"/>
      <c r="I225" s="44"/>
      <c r="J225" s="44"/>
      <c r="K225" s="44"/>
      <c r="L225" s="44"/>
      <c r="M225" s="44"/>
      <c r="N225" s="44"/>
      <c r="O225" s="44"/>
      <c r="P225" s="45"/>
      <c r="Q225" s="45"/>
      <c r="R225" s="45"/>
      <c r="S225" s="45"/>
      <c r="T225" s="44"/>
      <c r="U225" s="44"/>
      <c r="V225" s="44"/>
      <c r="W225" s="45"/>
      <c r="X225" s="45"/>
      <c r="Y225" s="44">
        <v>1</v>
      </c>
      <c r="Z225" s="44"/>
      <c r="AA225" s="44"/>
      <c r="AB225" s="44">
        <v>1</v>
      </c>
      <c r="AC225" s="2"/>
      <c r="AD225" s="2"/>
      <c r="AE225" s="2"/>
      <c r="AF225" s="46">
        <f t="shared" si="13"/>
        <v>2</v>
      </c>
      <c r="AG225" s="2"/>
    </row>
    <row r="226" spans="1:33" x14ac:dyDescent="0.45">
      <c r="A226" s="38" t="s">
        <v>43</v>
      </c>
      <c r="B226" s="43"/>
      <c r="C226" s="43"/>
      <c r="D226" s="42"/>
      <c r="E226" s="44"/>
      <c r="F226" s="44"/>
      <c r="G226" s="44"/>
      <c r="H226" s="44"/>
      <c r="I226" s="44"/>
      <c r="J226" s="44"/>
      <c r="K226" s="44"/>
      <c r="L226" s="44"/>
      <c r="M226" s="44"/>
      <c r="N226" s="44"/>
      <c r="O226" s="44"/>
      <c r="P226" s="44"/>
      <c r="Q226" s="44"/>
      <c r="R226" s="45"/>
      <c r="S226" s="44"/>
      <c r="T226" s="44"/>
      <c r="U226" s="44"/>
      <c r="V226" s="44"/>
      <c r="W226" s="44"/>
      <c r="X226" s="44"/>
      <c r="Y226" s="42">
        <v>1</v>
      </c>
      <c r="Z226" s="44"/>
      <c r="AA226" s="44"/>
      <c r="AB226" s="44"/>
      <c r="AC226" s="2"/>
      <c r="AD226" s="2"/>
      <c r="AE226" s="2"/>
      <c r="AF226" s="46">
        <f t="shared" si="13"/>
        <v>1</v>
      </c>
      <c r="AG226" s="2"/>
    </row>
    <row r="227" spans="1:33" x14ac:dyDescent="0.45">
      <c r="A227" s="50" t="s">
        <v>24</v>
      </c>
      <c r="B227" s="44">
        <f>SUM(B206:B226)</f>
        <v>6</v>
      </c>
      <c r="C227" s="44">
        <f t="shared" ref="C227:AE227" si="14">SUM(C206:C226)</f>
        <v>0</v>
      </c>
      <c r="D227" s="44">
        <f t="shared" si="14"/>
        <v>0</v>
      </c>
      <c r="E227" s="44">
        <f t="shared" si="14"/>
        <v>93</v>
      </c>
      <c r="F227" s="44">
        <f t="shared" si="14"/>
        <v>0</v>
      </c>
      <c r="G227" s="44">
        <f t="shared" si="14"/>
        <v>24</v>
      </c>
      <c r="H227" s="44">
        <f t="shared" si="14"/>
        <v>0</v>
      </c>
      <c r="I227" s="44">
        <f t="shared" si="14"/>
        <v>0</v>
      </c>
      <c r="J227" s="44">
        <f t="shared" si="14"/>
        <v>0</v>
      </c>
      <c r="K227" s="44">
        <f t="shared" si="14"/>
        <v>0</v>
      </c>
      <c r="L227" s="44">
        <f t="shared" si="14"/>
        <v>3554</v>
      </c>
      <c r="M227" s="44">
        <f t="shared" si="14"/>
        <v>3605</v>
      </c>
      <c r="N227" s="44">
        <f t="shared" si="14"/>
        <v>4844</v>
      </c>
      <c r="O227" s="44">
        <f t="shared" si="14"/>
        <v>6714</v>
      </c>
      <c r="P227" s="44">
        <f t="shared" si="14"/>
        <v>7371</v>
      </c>
      <c r="Q227" s="44">
        <f t="shared" si="14"/>
        <v>8789</v>
      </c>
      <c r="R227" s="44">
        <f t="shared" si="14"/>
        <v>10764</v>
      </c>
      <c r="S227" s="44">
        <f t="shared" si="14"/>
        <v>10045</v>
      </c>
      <c r="T227" s="44">
        <f t="shared" si="14"/>
        <v>3000</v>
      </c>
      <c r="U227" s="44">
        <f t="shared" si="14"/>
        <v>1767</v>
      </c>
      <c r="V227" s="44">
        <f t="shared" si="14"/>
        <v>797</v>
      </c>
      <c r="W227" s="44">
        <f t="shared" si="14"/>
        <v>4107</v>
      </c>
      <c r="X227" s="44">
        <f t="shared" si="14"/>
        <v>2155</v>
      </c>
      <c r="Y227" s="44">
        <f t="shared" si="14"/>
        <v>2580</v>
      </c>
      <c r="Z227" s="44">
        <f t="shared" si="14"/>
        <v>734</v>
      </c>
      <c r="AA227" s="44">
        <f t="shared" si="14"/>
        <v>129</v>
      </c>
      <c r="AB227" s="44">
        <f t="shared" si="14"/>
        <v>439</v>
      </c>
      <c r="AC227" s="44">
        <f t="shared" si="14"/>
        <v>0</v>
      </c>
      <c r="AD227" s="44">
        <f t="shared" si="14"/>
        <v>0</v>
      </c>
      <c r="AE227" s="44">
        <f t="shared" si="14"/>
        <v>0</v>
      </c>
      <c r="AF227" s="46">
        <f t="shared" si="13"/>
        <v>71517</v>
      </c>
      <c r="AG227" s="2"/>
    </row>
    <row r="228" spans="1:33" x14ac:dyDescent="0.45">
      <c r="A228" s="2"/>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2"/>
      <c r="AD228" s="2"/>
      <c r="AE228" s="2"/>
      <c r="AF228" s="44"/>
      <c r="AG228" s="2"/>
    </row>
    <row r="229" spans="1:33" x14ac:dyDescent="0.45">
      <c r="A229" s="2"/>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2"/>
      <c r="AD229" s="2"/>
      <c r="AE229" s="2"/>
      <c r="AF229" s="44"/>
      <c r="AG229" s="2"/>
    </row>
    <row r="230" spans="1:33" x14ac:dyDescent="0.45">
      <c r="A230" s="51">
        <v>1994</v>
      </c>
      <c r="B230" s="2"/>
      <c r="C230" s="2"/>
      <c r="D230" s="2"/>
      <c r="E230" s="38"/>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row>
    <row r="231" spans="1:33" x14ac:dyDescent="0.45">
      <c r="A231" s="76" t="s">
        <v>82</v>
      </c>
      <c r="B231" s="2"/>
      <c r="C231" s="2"/>
      <c r="D231" s="2"/>
      <c r="E231" s="38"/>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row>
    <row r="232" spans="1:33" x14ac:dyDescent="0.45">
      <c r="A232" s="2"/>
      <c r="B232" s="39">
        <v>34446</v>
      </c>
      <c r="C232" s="39">
        <v>34447</v>
      </c>
      <c r="D232" s="39">
        <v>34448</v>
      </c>
      <c r="E232" s="40">
        <v>34449</v>
      </c>
      <c r="F232" s="40">
        <v>34450</v>
      </c>
      <c r="G232" s="39">
        <v>34451</v>
      </c>
      <c r="H232" s="40">
        <v>34452</v>
      </c>
      <c r="I232" s="40">
        <v>34453</v>
      </c>
      <c r="J232" s="40">
        <v>34454</v>
      </c>
      <c r="K232" s="40">
        <v>34455</v>
      </c>
      <c r="L232" s="40">
        <v>34456</v>
      </c>
      <c r="M232" s="40">
        <v>34457</v>
      </c>
      <c r="N232" s="40">
        <v>34458</v>
      </c>
      <c r="O232" s="40">
        <v>34459</v>
      </c>
      <c r="P232" s="40">
        <v>34460</v>
      </c>
      <c r="Q232" s="40">
        <v>34461</v>
      </c>
      <c r="R232" s="40">
        <v>34462</v>
      </c>
      <c r="S232" s="40">
        <v>34463</v>
      </c>
      <c r="T232" s="40">
        <v>34464</v>
      </c>
      <c r="U232" s="40">
        <v>34465</v>
      </c>
      <c r="V232" s="40">
        <v>34466</v>
      </c>
      <c r="W232" s="40">
        <v>34467</v>
      </c>
      <c r="X232" s="40">
        <v>34468</v>
      </c>
      <c r="Y232" s="40">
        <v>34469</v>
      </c>
      <c r="Z232" s="40">
        <v>34470</v>
      </c>
      <c r="AA232" s="40">
        <v>34471</v>
      </c>
      <c r="AB232" s="40">
        <v>34472</v>
      </c>
      <c r="AC232" s="39">
        <v>34473</v>
      </c>
      <c r="AD232" s="39">
        <v>34474</v>
      </c>
      <c r="AE232" s="39">
        <v>34475</v>
      </c>
      <c r="AF232" s="53" t="s">
        <v>24</v>
      </c>
      <c r="AG232" s="2"/>
    </row>
    <row r="233" spans="1:33" x14ac:dyDescent="0.45">
      <c r="A233" s="38" t="s">
        <v>11</v>
      </c>
      <c r="B233" s="62"/>
      <c r="C233" s="63"/>
      <c r="D233" s="2"/>
      <c r="E233" s="59">
        <v>4</v>
      </c>
      <c r="F233" s="43">
        <v>6</v>
      </c>
      <c r="G233" s="59">
        <v>7</v>
      </c>
      <c r="H233" s="43">
        <v>99</v>
      </c>
      <c r="I233" s="59">
        <v>412</v>
      </c>
      <c r="J233" s="43">
        <v>2837</v>
      </c>
      <c r="K233" s="43">
        <v>4655</v>
      </c>
      <c r="L233" s="43">
        <v>5010</v>
      </c>
      <c r="M233" s="43">
        <v>6050</v>
      </c>
      <c r="N233" s="43">
        <v>7900</v>
      </c>
      <c r="O233" s="43">
        <v>9330</v>
      </c>
      <c r="P233" s="43">
        <v>8052</v>
      </c>
      <c r="Q233" s="43">
        <v>5400</v>
      </c>
      <c r="R233" s="43">
        <v>8180</v>
      </c>
      <c r="S233" s="43">
        <v>4782</v>
      </c>
      <c r="T233" s="43">
        <v>4270</v>
      </c>
      <c r="U233" s="43">
        <v>3660</v>
      </c>
      <c r="V233" s="43">
        <v>2997</v>
      </c>
      <c r="W233" s="43">
        <v>1425</v>
      </c>
      <c r="X233" s="43">
        <v>2145</v>
      </c>
      <c r="Y233" s="59">
        <v>1910</v>
      </c>
      <c r="Z233" s="43">
        <v>1096</v>
      </c>
      <c r="AA233" s="2"/>
      <c r="AB233" s="2"/>
      <c r="AC233" s="2"/>
      <c r="AD233" s="2"/>
      <c r="AE233" s="2"/>
      <c r="AF233" s="46">
        <f t="shared" ref="AF233:AF256" si="15">SUM(B233:AE233)</f>
        <v>80227</v>
      </c>
      <c r="AG233" s="2"/>
    </row>
    <row r="234" spans="1:33" x14ac:dyDescent="0.45">
      <c r="A234" s="38" t="s">
        <v>79</v>
      </c>
      <c r="B234" s="62"/>
      <c r="C234" s="2"/>
      <c r="D234" s="63">
        <v>4</v>
      </c>
      <c r="E234" s="52">
        <v>58</v>
      </c>
      <c r="F234" s="58"/>
      <c r="G234" s="2"/>
      <c r="H234" s="58"/>
      <c r="I234" s="58"/>
      <c r="J234" s="52">
        <v>22</v>
      </c>
      <c r="K234" s="52">
        <v>340</v>
      </c>
      <c r="L234" s="52">
        <v>197</v>
      </c>
      <c r="M234" s="52">
        <v>466</v>
      </c>
      <c r="N234" s="52">
        <v>260</v>
      </c>
      <c r="O234" s="52">
        <v>3</v>
      </c>
      <c r="P234" s="52">
        <v>410</v>
      </c>
      <c r="Q234" s="63">
        <v>950</v>
      </c>
      <c r="R234" s="52">
        <v>902</v>
      </c>
      <c r="S234" s="63">
        <v>806</v>
      </c>
      <c r="T234" s="52">
        <v>420</v>
      </c>
      <c r="U234" s="52">
        <v>80</v>
      </c>
      <c r="V234" s="58"/>
      <c r="W234" s="52">
        <v>250</v>
      </c>
      <c r="X234" s="58"/>
      <c r="Y234" s="2"/>
      <c r="Z234" s="2"/>
      <c r="AA234" s="2"/>
      <c r="AB234" s="2"/>
      <c r="AC234" s="2"/>
      <c r="AD234" s="2"/>
      <c r="AE234" s="2"/>
      <c r="AF234" s="46">
        <f t="shared" si="15"/>
        <v>5168</v>
      </c>
      <c r="AG234" s="2"/>
    </row>
    <row r="235" spans="1:33" x14ac:dyDescent="0.45">
      <c r="A235" s="38" t="s">
        <v>14</v>
      </c>
      <c r="B235" s="2"/>
      <c r="C235" s="2"/>
      <c r="D235" s="2"/>
      <c r="E235" s="52">
        <v>4</v>
      </c>
      <c r="F235" s="52">
        <v>2</v>
      </c>
      <c r="G235" s="2"/>
      <c r="H235" s="52">
        <v>17</v>
      </c>
      <c r="I235" s="52">
        <v>4</v>
      </c>
      <c r="J235" s="52">
        <v>26</v>
      </c>
      <c r="K235" s="52">
        <v>139</v>
      </c>
      <c r="L235" s="52">
        <v>515</v>
      </c>
      <c r="M235" s="52">
        <v>510</v>
      </c>
      <c r="N235" s="52">
        <v>300</v>
      </c>
      <c r="O235" s="52">
        <v>325</v>
      </c>
      <c r="P235" s="52">
        <v>275</v>
      </c>
      <c r="Q235" s="52">
        <v>260</v>
      </c>
      <c r="R235" s="52">
        <v>105</v>
      </c>
      <c r="S235" s="52">
        <v>91</v>
      </c>
      <c r="T235" s="52">
        <v>133</v>
      </c>
      <c r="U235" s="52">
        <v>171</v>
      </c>
      <c r="V235" s="52">
        <v>157</v>
      </c>
      <c r="W235" s="52">
        <v>121</v>
      </c>
      <c r="X235" s="52">
        <v>116</v>
      </c>
      <c r="Y235" s="52">
        <v>96</v>
      </c>
      <c r="Z235" s="52">
        <v>55</v>
      </c>
      <c r="AA235" s="2"/>
      <c r="AB235" s="2"/>
      <c r="AC235" s="2"/>
      <c r="AD235" s="2"/>
      <c r="AE235" s="2"/>
      <c r="AF235" s="46">
        <f t="shared" si="15"/>
        <v>3422</v>
      </c>
      <c r="AG235" s="2"/>
    </row>
    <row r="236" spans="1:33" x14ac:dyDescent="0.45">
      <c r="A236" s="38" t="s">
        <v>80</v>
      </c>
      <c r="B236" s="2"/>
      <c r="C236" s="2"/>
      <c r="D236" s="2"/>
      <c r="E236" s="2"/>
      <c r="F236" s="63">
        <v>3</v>
      </c>
      <c r="G236" s="2"/>
      <c r="H236" s="38"/>
      <c r="I236" s="2"/>
      <c r="J236" s="63">
        <v>9</v>
      </c>
      <c r="K236" s="63">
        <v>38</v>
      </c>
      <c r="L236" s="63">
        <v>7</v>
      </c>
      <c r="M236" s="64">
        <v>15</v>
      </c>
      <c r="N236" s="63">
        <v>24</v>
      </c>
      <c r="O236" s="63">
        <v>5</v>
      </c>
      <c r="P236" s="64">
        <v>156</v>
      </c>
      <c r="Q236" s="63">
        <v>280</v>
      </c>
      <c r="R236" s="63">
        <v>113</v>
      </c>
      <c r="S236" s="63">
        <v>155</v>
      </c>
      <c r="T236" s="63">
        <v>81</v>
      </c>
      <c r="U236" s="63">
        <v>61</v>
      </c>
      <c r="V236" s="63">
        <v>127</v>
      </c>
      <c r="W236" s="63">
        <v>76</v>
      </c>
      <c r="X236" s="63">
        <v>1</v>
      </c>
      <c r="Y236" s="2"/>
      <c r="Z236" s="63">
        <v>4</v>
      </c>
      <c r="AA236" s="2"/>
      <c r="AB236" s="2"/>
      <c r="AC236" s="2"/>
      <c r="AD236" s="2"/>
      <c r="AE236" s="2"/>
      <c r="AF236" s="46">
        <f t="shared" si="15"/>
        <v>1155</v>
      </c>
      <c r="AG236" s="2"/>
    </row>
    <row r="237" spans="1:33" x14ac:dyDescent="0.45">
      <c r="A237" s="38" t="s">
        <v>15</v>
      </c>
      <c r="B237" s="62"/>
      <c r="C237" s="2"/>
      <c r="D237" s="2"/>
      <c r="E237" s="63">
        <v>5</v>
      </c>
      <c r="F237" s="2"/>
      <c r="G237" s="63">
        <v>10</v>
      </c>
      <c r="H237" s="52">
        <v>1</v>
      </c>
      <c r="I237" s="63">
        <v>18</v>
      </c>
      <c r="J237" s="63">
        <v>52</v>
      </c>
      <c r="K237" s="63">
        <v>50</v>
      </c>
      <c r="L237" s="63">
        <v>125</v>
      </c>
      <c r="M237" s="63">
        <v>53</v>
      </c>
      <c r="N237" s="63">
        <v>51</v>
      </c>
      <c r="O237" s="63">
        <v>50</v>
      </c>
      <c r="P237" s="63">
        <v>40</v>
      </c>
      <c r="Q237" s="63">
        <v>30</v>
      </c>
      <c r="R237" s="63">
        <v>35</v>
      </c>
      <c r="S237" s="63">
        <v>34</v>
      </c>
      <c r="T237" s="63">
        <v>60</v>
      </c>
      <c r="U237" s="63">
        <v>75</v>
      </c>
      <c r="V237" s="63">
        <v>42</v>
      </c>
      <c r="W237" s="63">
        <v>19</v>
      </c>
      <c r="X237" s="63">
        <v>46</v>
      </c>
      <c r="Y237" s="63">
        <v>21</v>
      </c>
      <c r="Z237" s="63">
        <v>10</v>
      </c>
      <c r="AA237" s="2"/>
      <c r="AB237" s="2"/>
      <c r="AC237" s="2"/>
      <c r="AD237" s="2"/>
      <c r="AE237" s="2"/>
      <c r="AF237" s="46">
        <f t="shared" si="15"/>
        <v>827</v>
      </c>
      <c r="AG237" s="2"/>
    </row>
    <row r="238" spans="1:33" x14ac:dyDescent="0.45">
      <c r="A238" s="38" t="s">
        <v>40</v>
      </c>
      <c r="B238" s="2"/>
      <c r="C238" s="2"/>
      <c r="D238" s="2">
        <v>1</v>
      </c>
      <c r="E238" s="65"/>
      <c r="F238" s="62"/>
      <c r="G238" s="63"/>
      <c r="H238" s="38"/>
      <c r="I238" s="2"/>
      <c r="J238" s="2"/>
      <c r="K238" s="2"/>
      <c r="L238" s="2"/>
      <c r="M238" s="2"/>
      <c r="N238" s="2"/>
      <c r="O238" s="2"/>
      <c r="P238" s="21"/>
      <c r="Q238" s="2">
        <v>500</v>
      </c>
      <c r="R238" s="2"/>
      <c r="S238" s="2">
        <v>1</v>
      </c>
      <c r="T238" s="2"/>
      <c r="U238" s="2"/>
      <c r="V238" s="2"/>
      <c r="W238" s="2"/>
      <c r="X238" s="2"/>
      <c r="Y238" s="2"/>
      <c r="Z238" s="2"/>
      <c r="AA238" s="2"/>
      <c r="AB238" s="2"/>
      <c r="AC238" s="2"/>
      <c r="AD238" s="2"/>
      <c r="AE238" s="2"/>
      <c r="AF238" s="46">
        <f t="shared" si="15"/>
        <v>502</v>
      </c>
      <c r="AG238" s="2"/>
    </row>
    <row r="239" spans="1:33" x14ac:dyDescent="0.45">
      <c r="A239" s="38" t="s">
        <v>2</v>
      </c>
      <c r="B239" s="2"/>
      <c r="C239" s="2"/>
      <c r="D239" s="2"/>
      <c r="E239" s="63">
        <v>4</v>
      </c>
      <c r="F239" s="52">
        <v>1</v>
      </c>
      <c r="G239" s="2"/>
      <c r="H239" s="52">
        <v>10</v>
      </c>
      <c r="I239" s="63">
        <v>13</v>
      </c>
      <c r="J239" s="63">
        <v>88</v>
      </c>
      <c r="K239" s="52">
        <v>58</v>
      </c>
      <c r="L239" s="63">
        <v>57</v>
      </c>
      <c r="M239" s="63">
        <v>59</v>
      </c>
      <c r="N239" s="63">
        <v>42</v>
      </c>
      <c r="O239" s="63">
        <v>45</v>
      </c>
      <c r="P239" s="63">
        <v>13</v>
      </c>
      <c r="Q239" s="58"/>
      <c r="R239" s="52">
        <v>3</v>
      </c>
      <c r="S239" s="2"/>
      <c r="T239" s="52">
        <v>1</v>
      </c>
      <c r="U239" s="63">
        <v>7</v>
      </c>
      <c r="V239" s="63">
        <v>9</v>
      </c>
      <c r="W239" s="63">
        <v>10</v>
      </c>
      <c r="X239" s="52">
        <v>2</v>
      </c>
      <c r="Y239" s="58"/>
      <c r="Z239" s="2"/>
      <c r="AA239" s="2"/>
      <c r="AB239" s="2"/>
      <c r="AC239" s="2"/>
      <c r="AD239" s="2"/>
      <c r="AE239" s="2"/>
      <c r="AF239" s="46">
        <f t="shared" si="15"/>
        <v>422</v>
      </c>
      <c r="AG239" s="2"/>
    </row>
    <row r="240" spans="1:33" x14ac:dyDescent="0.45">
      <c r="A240" s="38" t="s">
        <v>1</v>
      </c>
      <c r="B240" s="65"/>
      <c r="C240" s="62"/>
      <c r="D240" s="63"/>
      <c r="E240" s="66"/>
      <c r="F240" s="63">
        <v>2</v>
      </c>
      <c r="G240" s="2"/>
      <c r="H240" s="58"/>
      <c r="I240" s="63">
        <v>1</v>
      </c>
      <c r="J240" s="63">
        <v>6</v>
      </c>
      <c r="K240" s="2"/>
      <c r="L240" s="63">
        <v>4</v>
      </c>
      <c r="M240" s="63">
        <v>6</v>
      </c>
      <c r="N240" s="63">
        <v>1</v>
      </c>
      <c r="O240" s="63">
        <v>6</v>
      </c>
      <c r="P240" s="63">
        <v>6</v>
      </c>
      <c r="Q240" s="63">
        <v>6</v>
      </c>
      <c r="R240" s="63">
        <v>6</v>
      </c>
      <c r="S240" s="63">
        <v>8</v>
      </c>
      <c r="T240" s="63">
        <v>7</v>
      </c>
      <c r="U240" s="63">
        <v>10</v>
      </c>
      <c r="V240" s="63">
        <v>11</v>
      </c>
      <c r="W240" s="63">
        <v>13</v>
      </c>
      <c r="X240" s="63">
        <v>16</v>
      </c>
      <c r="Y240" s="63">
        <v>24</v>
      </c>
      <c r="Z240" s="63">
        <v>10</v>
      </c>
      <c r="AA240" s="2"/>
      <c r="AB240" s="2"/>
      <c r="AC240" s="2"/>
      <c r="AD240" s="2"/>
      <c r="AE240" s="2"/>
      <c r="AF240" s="46">
        <f t="shared" si="15"/>
        <v>143</v>
      </c>
      <c r="AG240" s="2"/>
    </row>
    <row r="241" spans="1:33" x14ac:dyDescent="0.45">
      <c r="A241" s="38" t="s">
        <v>17</v>
      </c>
      <c r="B241" s="2"/>
      <c r="C241" s="2"/>
      <c r="D241" s="2"/>
      <c r="E241" s="40"/>
      <c r="F241" s="63"/>
      <c r="G241" s="63"/>
      <c r="H241" s="38"/>
      <c r="I241" s="2"/>
      <c r="J241" s="2"/>
      <c r="K241" s="2"/>
      <c r="L241" s="2"/>
      <c r="M241" s="58"/>
      <c r="N241" s="58"/>
      <c r="O241" s="58"/>
      <c r="P241" s="67">
        <v>100</v>
      </c>
      <c r="Q241" s="2"/>
      <c r="R241" s="58"/>
      <c r="S241" s="2">
        <v>1</v>
      </c>
      <c r="T241" s="2"/>
      <c r="U241" s="2"/>
      <c r="V241" s="2"/>
      <c r="W241" s="2"/>
      <c r="X241" s="2"/>
      <c r="Y241" s="2"/>
      <c r="Z241" s="2"/>
      <c r="AA241" s="2"/>
      <c r="AB241" s="2"/>
      <c r="AC241" s="2"/>
      <c r="AD241" s="2"/>
      <c r="AE241" s="2"/>
      <c r="AF241" s="46">
        <f t="shared" si="15"/>
        <v>101</v>
      </c>
      <c r="AG241" s="2"/>
    </row>
    <row r="242" spans="1:33" x14ac:dyDescent="0.45">
      <c r="A242" s="38" t="s">
        <v>12</v>
      </c>
      <c r="B242" s="2"/>
      <c r="C242" s="2"/>
      <c r="D242" s="2"/>
      <c r="E242" s="58"/>
      <c r="F242" s="63">
        <v>15</v>
      </c>
      <c r="G242" s="2"/>
      <c r="H242" s="52">
        <v>15</v>
      </c>
      <c r="I242" s="2"/>
      <c r="J242" s="2"/>
      <c r="K242" s="63">
        <v>5</v>
      </c>
      <c r="L242" s="2"/>
      <c r="M242" s="58"/>
      <c r="N242" s="58"/>
      <c r="O242" s="58"/>
      <c r="P242" s="58"/>
      <c r="Q242" s="52">
        <v>2</v>
      </c>
      <c r="R242" s="63">
        <v>2</v>
      </c>
      <c r="S242" s="2"/>
      <c r="T242" s="63">
        <v>1</v>
      </c>
      <c r="U242" s="2"/>
      <c r="V242" s="2"/>
      <c r="W242" s="2"/>
      <c r="X242" s="63">
        <v>1</v>
      </c>
      <c r="Y242" s="63">
        <v>2</v>
      </c>
      <c r="Z242" s="2"/>
      <c r="AA242" s="2"/>
      <c r="AB242" s="2"/>
      <c r="AC242" s="2"/>
      <c r="AD242" s="2"/>
      <c r="AE242" s="2"/>
      <c r="AF242" s="46">
        <f t="shared" si="15"/>
        <v>43</v>
      </c>
      <c r="AG242" s="2"/>
    </row>
    <row r="243" spans="1:33" x14ac:dyDescent="0.45">
      <c r="A243" s="38" t="s">
        <v>84</v>
      </c>
      <c r="B243" s="2"/>
      <c r="C243" s="2"/>
      <c r="D243" s="2"/>
      <c r="E243" s="52"/>
      <c r="F243" s="58"/>
      <c r="G243" s="2">
        <v>1</v>
      </c>
      <c r="H243" s="38"/>
      <c r="I243" s="2">
        <v>1</v>
      </c>
      <c r="J243" s="2"/>
      <c r="K243" s="2"/>
      <c r="L243" s="2"/>
      <c r="M243" s="63">
        <v>3</v>
      </c>
      <c r="N243" s="63">
        <v>13</v>
      </c>
      <c r="O243" s="63">
        <v>1</v>
      </c>
      <c r="P243" s="63">
        <v>7</v>
      </c>
      <c r="Q243" s="63">
        <v>7</v>
      </c>
      <c r="R243" s="21"/>
      <c r="S243" s="2"/>
      <c r="T243" s="2"/>
      <c r="U243" s="2"/>
      <c r="V243" s="2"/>
      <c r="W243" s="2"/>
      <c r="X243" s="2"/>
      <c r="Y243" s="2"/>
      <c r="Z243" s="2"/>
      <c r="AA243" s="2"/>
      <c r="AB243" s="2"/>
      <c r="AC243" s="2"/>
      <c r="AD243" s="2"/>
      <c r="AE243" s="2"/>
      <c r="AF243" s="46">
        <f t="shared" si="15"/>
        <v>33</v>
      </c>
      <c r="AG243" s="2"/>
    </row>
    <row r="244" spans="1:33" x14ac:dyDescent="0.45">
      <c r="A244" s="38" t="s">
        <v>44</v>
      </c>
      <c r="B244" s="65"/>
      <c r="C244" s="62"/>
      <c r="D244" s="63"/>
      <c r="E244" s="38"/>
      <c r="F244" s="58"/>
      <c r="G244" s="2"/>
      <c r="H244" s="58"/>
      <c r="I244" s="2"/>
      <c r="J244" s="2"/>
      <c r="K244" s="2"/>
      <c r="L244" s="2"/>
      <c r="M244" s="58"/>
      <c r="N244" s="2"/>
      <c r="O244" s="2"/>
      <c r="P244" s="52">
        <v>5</v>
      </c>
      <c r="Q244" s="63">
        <v>4</v>
      </c>
      <c r="R244" s="63">
        <v>3</v>
      </c>
      <c r="S244" s="2"/>
      <c r="T244" s="58"/>
      <c r="U244" s="63">
        <v>3</v>
      </c>
      <c r="V244" s="58"/>
      <c r="W244" s="63">
        <v>2</v>
      </c>
      <c r="X244" s="2"/>
      <c r="Y244" s="2"/>
      <c r="Z244" s="2"/>
      <c r="AA244" s="2"/>
      <c r="AB244" s="2"/>
      <c r="AC244" s="2"/>
      <c r="AD244" s="2"/>
      <c r="AE244" s="2"/>
      <c r="AF244" s="46">
        <f t="shared" si="15"/>
        <v>17</v>
      </c>
      <c r="AG244" s="2"/>
    </row>
    <row r="245" spans="1:33" x14ac:dyDescent="0.45">
      <c r="A245" s="38" t="s">
        <v>42</v>
      </c>
      <c r="B245" s="2"/>
      <c r="C245" s="2"/>
      <c r="D245" s="2"/>
      <c r="E245" s="52"/>
      <c r="F245" s="58"/>
      <c r="G245" s="58"/>
      <c r="H245" s="38"/>
      <c r="I245" s="2"/>
      <c r="J245" s="2"/>
      <c r="K245" s="2"/>
      <c r="L245" s="2"/>
      <c r="M245" s="63">
        <v>4</v>
      </c>
      <c r="N245" s="63">
        <v>2</v>
      </c>
      <c r="O245" s="63">
        <v>2</v>
      </c>
      <c r="P245" s="64">
        <v>2</v>
      </c>
      <c r="Q245" s="2"/>
      <c r="R245" s="63">
        <v>1</v>
      </c>
      <c r="S245" s="2"/>
      <c r="T245" s="2"/>
      <c r="U245" s="2"/>
      <c r="V245" s="2"/>
      <c r="W245" s="2"/>
      <c r="X245" s="2"/>
      <c r="Y245" s="2"/>
      <c r="Z245" s="2"/>
      <c r="AA245" s="2"/>
      <c r="AB245" s="2"/>
      <c r="AC245" s="2"/>
      <c r="AD245" s="2"/>
      <c r="AE245" s="2"/>
      <c r="AF245" s="46">
        <f t="shared" si="15"/>
        <v>11</v>
      </c>
      <c r="AG245" s="2"/>
    </row>
    <row r="246" spans="1:33" x14ac:dyDescent="0.45">
      <c r="A246" s="38" t="s">
        <v>8</v>
      </c>
      <c r="B246" s="62"/>
      <c r="C246" s="2"/>
      <c r="D246" s="2"/>
      <c r="E246" s="38"/>
      <c r="F246" s="58"/>
      <c r="G246" s="58"/>
      <c r="H246" s="58"/>
      <c r="I246" s="2"/>
      <c r="J246" s="2"/>
      <c r="K246" s="2"/>
      <c r="L246" s="2"/>
      <c r="M246" s="2"/>
      <c r="N246" s="2"/>
      <c r="O246" s="2"/>
      <c r="P246" s="2"/>
      <c r="Q246" s="63">
        <v>2</v>
      </c>
      <c r="R246" s="2"/>
      <c r="S246" s="2"/>
      <c r="T246" s="2"/>
      <c r="U246" s="63">
        <v>1</v>
      </c>
      <c r="V246" s="2"/>
      <c r="W246" s="2"/>
      <c r="X246" s="63">
        <v>3</v>
      </c>
      <c r="Y246" s="63">
        <v>3</v>
      </c>
      <c r="Z246" s="63">
        <v>1</v>
      </c>
      <c r="AA246" s="2"/>
      <c r="AB246" s="2"/>
      <c r="AC246" s="2"/>
      <c r="AD246" s="2"/>
      <c r="AE246" s="2"/>
      <c r="AF246" s="46">
        <f t="shared" si="15"/>
        <v>10</v>
      </c>
      <c r="AG246" s="2"/>
    </row>
    <row r="247" spans="1:33" x14ac:dyDescent="0.45">
      <c r="A247" s="38" t="s">
        <v>7</v>
      </c>
      <c r="B247" s="40"/>
      <c r="C247" s="58"/>
      <c r="D247" s="58"/>
      <c r="E247" s="43"/>
      <c r="F247" s="59"/>
      <c r="G247" s="59"/>
      <c r="H247" s="59"/>
      <c r="I247" s="59"/>
      <c r="J247" s="59"/>
      <c r="K247" s="59"/>
      <c r="L247" s="59">
        <v>4</v>
      </c>
      <c r="M247" s="59">
        <v>1</v>
      </c>
      <c r="N247" s="60"/>
      <c r="O247" s="60"/>
      <c r="P247" s="43"/>
      <c r="Q247" s="43"/>
      <c r="R247" s="43">
        <v>4</v>
      </c>
      <c r="S247" s="59">
        <v>1</v>
      </c>
      <c r="T247" s="59"/>
      <c r="U247" s="43"/>
      <c r="V247" s="59"/>
      <c r="W247" s="43"/>
      <c r="X247" s="59"/>
      <c r="Y247" s="59"/>
      <c r="Z247" s="59"/>
      <c r="AA247" s="2"/>
      <c r="AB247" s="2"/>
      <c r="AC247" s="2"/>
      <c r="AD247" s="2"/>
      <c r="AE247" s="2"/>
      <c r="AF247" s="46">
        <f t="shared" si="15"/>
        <v>10</v>
      </c>
      <c r="AG247" s="2"/>
    </row>
    <row r="248" spans="1:33" x14ac:dyDescent="0.45">
      <c r="A248" s="38" t="s">
        <v>53</v>
      </c>
      <c r="B248" s="58"/>
      <c r="C248" s="58"/>
      <c r="D248" s="58"/>
      <c r="E248" s="40"/>
      <c r="F248" s="52"/>
      <c r="G248" s="2"/>
      <c r="H248" s="65"/>
      <c r="I248" s="58"/>
      <c r="J248" s="58"/>
      <c r="K248" s="2"/>
      <c r="L248" s="58"/>
      <c r="M248" s="52">
        <v>3</v>
      </c>
      <c r="N248" s="58"/>
      <c r="O248" s="58"/>
      <c r="P248" s="52">
        <v>2</v>
      </c>
      <c r="Q248" s="58"/>
      <c r="R248" s="58"/>
      <c r="S248" s="58"/>
      <c r="T248" s="52">
        <v>1</v>
      </c>
      <c r="U248" s="58"/>
      <c r="V248" s="52">
        <v>2</v>
      </c>
      <c r="W248" s="58"/>
      <c r="X248" s="58"/>
      <c r="Y248" s="58"/>
      <c r="Z248" s="58"/>
      <c r="AA248" s="2"/>
      <c r="AB248" s="2"/>
      <c r="AC248" s="2"/>
      <c r="AD248" s="2"/>
      <c r="AE248" s="2"/>
      <c r="AF248" s="46">
        <f t="shared" si="15"/>
        <v>8</v>
      </c>
      <c r="AG248" s="2"/>
    </row>
    <row r="249" spans="1:33" x14ac:dyDescent="0.45">
      <c r="A249" s="38" t="s">
        <v>45</v>
      </c>
      <c r="B249" s="58"/>
      <c r="C249" s="58"/>
      <c r="D249" s="58"/>
      <c r="E249" s="58"/>
      <c r="F249" s="2"/>
      <c r="G249" s="2"/>
      <c r="H249" s="65"/>
      <c r="I249" s="2"/>
      <c r="J249" s="2"/>
      <c r="K249" s="2"/>
      <c r="L249" s="2"/>
      <c r="M249" s="68">
        <v>1</v>
      </c>
      <c r="N249" s="2"/>
      <c r="O249" s="2"/>
      <c r="P249" s="68">
        <v>1</v>
      </c>
      <c r="Q249" s="2"/>
      <c r="R249" s="2"/>
      <c r="S249" s="2"/>
      <c r="T249" s="2"/>
      <c r="U249" s="2"/>
      <c r="V249" s="2"/>
      <c r="W249" s="2"/>
      <c r="X249" s="2"/>
      <c r="Y249" s="2"/>
      <c r="Z249" s="2"/>
      <c r="AA249" s="2"/>
      <c r="AB249" s="2"/>
      <c r="AC249" s="2"/>
      <c r="AD249" s="2"/>
      <c r="AE249" s="2"/>
      <c r="AF249" s="46">
        <f t="shared" si="15"/>
        <v>2</v>
      </c>
      <c r="AG249" s="2"/>
    </row>
    <row r="250" spans="1:33" x14ac:dyDescent="0.45">
      <c r="A250" s="38" t="s">
        <v>32</v>
      </c>
      <c r="B250" s="38"/>
      <c r="C250" s="62"/>
      <c r="D250" s="63"/>
      <c r="E250" s="38"/>
      <c r="F250" s="2"/>
      <c r="G250" s="58"/>
      <c r="H250" s="58"/>
      <c r="I250" s="58"/>
      <c r="J250" s="58"/>
      <c r="K250" s="58"/>
      <c r="L250" s="58"/>
      <c r="M250" s="58"/>
      <c r="N250" s="58"/>
      <c r="O250" s="58"/>
      <c r="P250" s="58"/>
      <c r="Q250" s="58">
        <v>1</v>
      </c>
      <c r="R250" s="58">
        <v>1</v>
      </c>
      <c r="S250" s="58"/>
      <c r="T250" s="58"/>
      <c r="U250" s="58"/>
      <c r="V250" s="58"/>
      <c r="W250" s="58"/>
      <c r="X250" s="58"/>
      <c r="Y250" s="58"/>
      <c r="Z250" s="58"/>
      <c r="AA250" s="2"/>
      <c r="AB250" s="2"/>
      <c r="AC250" s="2"/>
      <c r="AD250" s="2"/>
      <c r="AE250" s="2"/>
      <c r="AF250" s="46">
        <f t="shared" si="15"/>
        <v>2</v>
      </c>
      <c r="AG250" s="2"/>
    </row>
    <row r="251" spans="1:33" x14ac:dyDescent="0.45">
      <c r="A251" s="38" t="s">
        <v>52</v>
      </c>
      <c r="B251" s="58"/>
      <c r="C251" s="2"/>
      <c r="D251" s="2"/>
      <c r="E251" s="58"/>
      <c r="F251" s="2"/>
      <c r="G251" s="2"/>
      <c r="H251" s="65"/>
      <c r="I251" s="2"/>
      <c r="J251" s="2"/>
      <c r="K251" s="2"/>
      <c r="L251" s="2"/>
      <c r="M251" s="2"/>
      <c r="N251" s="2"/>
      <c r="O251" s="2"/>
      <c r="P251" s="2"/>
      <c r="Q251" s="2">
        <v>1</v>
      </c>
      <c r="R251" s="58"/>
      <c r="S251" s="2"/>
      <c r="T251" s="2"/>
      <c r="U251" s="2"/>
      <c r="V251" s="2"/>
      <c r="W251" s="2"/>
      <c r="X251" s="2"/>
      <c r="Y251" s="2"/>
      <c r="Z251" s="2"/>
      <c r="AA251" s="2"/>
      <c r="AB251" s="2"/>
      <c r="AC251" s="2"/>
      <c r="AD251" s="2"/>
      <c r="AE251" s="2"/>
      <c r="AF251" s="46">
        <f t="shared" si="15"/>
        <v>1</v>
      </c>
      <c r="AG251" s="2"/>
    </row>
    <row r="252" spans="1:33" x14ac:dyDescent="0.45">
      <c r="A252" s="38" t="s">
        <v>51</v>
      </c>
      <c r="B252" s="58"/>
      <c r="C252" s="2"/>
      <c r="D252" s="58"/>
      <c r="E252" s="58"/>
      <c r="F252" s="2"/>
      <c r="G252" s="2"/>
      <c r="H252" s="65"/>
      <c r="I252" s="2"/>
      <c r="J252" s="58"/>
      <c r="K252" s="58"/>
      <c r="L252" s="58"/>
      <c r="M252" s="58"/>
      <c r="N252" s="58"/>
      <c r="O252" s="58"/>
      <c r="P252" s="67">
        <v>1</v>
      </c>
      <c r="Q252" s="58"/>
      <c r="R252" s="58"/>
      <c r="S252" s="58"/>
      <c r="T252" s="58"/>
      <c r="U252" s="58"/>
      <c r="V252" s="2"/>
      <c r="W252" s="58"/>
      <c r="X252" s="2"/>
      <c r="Y252" s="2"/>
      <c r="Z252" s="2"/>
      <c r="AA252" s="2"/>
      <c r="AB252" s="2"/>
      <c r="AC252" s="2"/>
      <c r="AD252" s="2"/>
      <c r="AE252" s="2"/>
      <c r="AF252" s="46">
        <f t="shared" si="15"/>
        <v>1</v>
      </c>
      <c r="AG252" s="2"/>
    </row>
    <row r="253" spans="1:33" x14ac:dyDescent="0.45">
      <c r="A253" s="38" t="s">
        <v>4</v>
      </c>
      <c r="B253" s="58"/>
      <c r="C253" s="2"/>
      <c r="D253" s="2"/>
      <c r="E253" s="58"/>
      <c r="F253" s="2"/>
      <c r="G253" s="2"/>
      <c r="H253" s="65"/>
      <c r="I253" s="2"/>
      <c r="J253" s="2"/>
      <c r="K253" s="2"/>
      <c r="L253" s="2"/>
      <c r="M253" s="2"/>
      <c r="N253" s="2"/>
      <c r="O253" s="2"/>
      <c r="P253" s="2"/>
      <c r="Q253" s="58"/>
      <c r="R253" s="2">
        <v>1</v>
      </c>
      <c r="S253" s="2"/>
      <c r="T253" s="2"/>
      <c r="U253" s="58"/>
      <c r="V253" s="2"/>
      <c r="W253" s="2"/>
      <c r="X253" s="58"/>
      <c r="Y253" s="58"/>
      <c r="Z253" s="58"/>
      <c r="AA253" s="2"/>
      <c r="AB253" s="2"/>
      <c r="AC253" s="2"/>
      <c r="AD253" s="2"/>
      <c r="AE253" s="2"/>
      <c r="AF253" s="46">
        <f t="shared" si="15"/>
        <v>1</v>
      </c>
      <c r="AG253" s="2"/>
    </row>
    <row r="254" spans="1:33" x14ac:dyDescent="0.45">
      <c r="A254" s="38" t="s">
        <v>13</v>
      </c>
      <c r="B254" s="58"/>
      <c r="C254" s="58"/>
      <c r="D254" s="2"/>
      <c r="E254" s="40"/>
      <c r="F254" s="52"/>
      <c r="G254" s="58"/>
      <c r="H254" s="38"/>
      <c r="I254" s="58"/>
      <c r="J254" s="58"/>
      <c r="K254" s="58"/>
      <c r="L254" s="58"/>
      <c r="M254" s="58"/>
      <c r="N254" s="58"/>
      <c r="O254" s="58"/>
      <c r="P254" s="58"/>
      <c r="Q254" s="58"/>
      <c r="R254" s="67">
        <v>1</v>
      </c>
      <c r="S254" s="58"/>
      <c r="T254" s="58"/>
      <c r="U254" s="58"/>
      <c r="V254" s="58"/>
      <c r="W254" s="58"/>
      <c r="X254" s="58"/>
      <c r="Y254" s="58"/>
      <c r="Z254" s="58"/>
      <c r="AA254" s="2"/>
      <c r="AB254" s="2"/>
      <c r="AC254" s="2"/>
      <c r="AD254" s="2"/>
      <c r="AE254" s="2"/>
      <c r="AF254" s="46">
        <f t="shared" si="15"/>
        <v>1</v>
      </c>
      <c r="AG254" s="2"/>
    </row>
    <row r="255" spans="1:33" x14ac:dyDescent="0.45">
      <c r="A255" s="38" t="s">
        <v>85</v>
      </c>
      <c r="B255" s="40"/>
      <c r="C255" s="2"/>
      <c r="D255" s="2"/>
      <c r="E255" s="38"/>
      <c r="F255" s="58"/>
      <c r="G255" s="58"/>
      <c r="H255" s="58"/>
      <c r="I255" s="58"/>
      <c r="J255" s="58"/>
      <c r="K255" s="58"/>
      <c r="L255" s="58"/>
      <c r="M255" s="58"/>
      <c r="N255" s="21"/>
      <c r="O255" s="21"/>
      <c r="P255" s="58"/>
      <c r="Q255" s="58"/>
      <c r="R255" s="52">
        <v>1</v>
      </c>
      <c r="S255" s="58"/>
      <c r="T255" s="58"/>
      <c r="U255" s="58"/>
      <c r="V255" s="58"/>
      <c r="W255" s="58"/>
      <c r="X255" s="58"/>
      <c r="Y255" s="58"/>
      <c r="Z255" s="58"/>
      <c r="AA255" s="2"/>
      <c r="AB255" s="2"/>
      <c r="AC255" s="2"/>
      <c r="AD255" s="2"/>
      <c r="AE255" s="2"/>
      <c r="AF255" s="46">
        <f t="shared" si="15"/>
        <v>1</v>
      </c>
      <c r="AG255" s="2"/>
    </row>
    <row r="256" spans="1:33" x14ac:dyDescent="0.45">
      <c r="A256" s="54" t="s">
        <v>24</v>
      </c>
      <c r="B256" s="44">
        <f>SUM(B233:B255)</f>
        <v>0</v>
      </c>
      <c r="C256" s="44">
        <f>SUM(C233:C255)</f>
        <v>0</v>
      </c>
      <c r="D256" s="44">
        <f t="shared" ref="D256:AE256" si="16">SUM(D233:D255)</f>
        <v>5</v>
      </c>
      <c r="E256" s="44">
        <f t="shared" si="16"/>
        <v>75</v>
      </c>
      <c r="F256" s="44">
        <f t="shared" si="16"/>
        <v>29</v>
      </c>
      <c r="G256" s="44">
        <f t="shared" si="16"/>
        <v>18</v>
      </c>
      <c r="H256" s="44">
        <f t="shared" si="16"/>
        <v>142</v>
      </c>
      <c r="I256" s="44">
        <f t="shared" si="16"/>
        <v>449</v>
      </c>
      <c r="J256" s="44">
        <f t="shared" si="16"/>
        <v>3040</v>
      </c>
      <c r="K256" s="44">
        <f t="shared" si="16"/>
        <v>5285</v>
      </c>
      <c r="L256" s="44">
        <f t="shared" si="16"/>
        <v>5919</v>
      </c>
      <c r="M256" s="44">
        <f t="shared" si="16"/>
        <v>7171</v>
      </c>
      <c r="N256" s="44">
        <f t="shared" si="16"/>
        <v>8593</v>
      </c>
      <c r="O256" s="44">
        <f t="shared" si="16"/>
        <v>9767</v>
      </c>
      <c r="P256" s="44">
        <f t="shared" si="16"/>
        <v>9070</v>
      </c>
      <c r="Q256" s="44">
        <f t="shared" si="16"/>
        <v>7443</v>
      </c>
      <c r="R256" s="44">
        <f t="shared" si="16"/>
        <v>9358</v>
      </c>
      <c r="S256" s="44">
        <f t="shared" si="16"/>
        <v>5879</v>
      </c>
      <c r="T256" s="44">
        <f t="shared" si="16"/>
        <v>4974</v>
      </c>
      <c r="U256" s="44">
        <f t="shared" si="16"/>
        <v>4068</v>
      </c>
      <c r="V256" s="44">
        <f t="shared" si="16"/>
        <v>3345</v>
      </c>
      <c r="W256" s="44">
        <f t="shared" si="16"/>
        <v>1916</v>
      </c>
      <c r="X256" s="44">
        <f t="shared" si="16"/>
        <v>2330</v>
      </c>
      <c r="Y256" s="44">
        <f t="shared" si="16"/>
        <v>2056</v>
      </c>
      <c r="Z256" s="44">
        <f t="shared" si="16"/>
        <v>1176</v>
      </c>
      <c r="AA256" s="44">
        <f t="shared" si="16"/>
        <v>0</v>
      </c>
      <c r="AB256" s="44">
        <f t="shared" si="16"/>
        <v>0</v>
      </c>
      <c r="AC256" s="44">
        <f t="shared" si="16"/>
        <v>0</v>
      </c>
      <c r="AD256" s="44">
        <f t="shared" si="16"/>
        <v>0</v>
      </c>
      <c r="AE256" s="44">
        <f t="shared" si="16"/>
        <v>0</v>
      </c>
      <c r="AF256" s="46">
        <f t="shared" si="15"/>
        <v>92108</v>
      </c>
      <c r="AG256" s="2"/>
    </row>
    <row r="259" spans="1:11" x14ac:dyDescent="0.45">
      <c r="A259" s="1" t="s">
        <v>118</v>
      </c>
    </row>
    <row r="261" spans="1:11" x14ac:dyDescent="0.45">
      <c r="A261" s="26" t="s">
        <v>39</v>
      </c>
      <c r="B261" s="8">
        <v>1986</v>
      </c>
      <c r="C261" s="8">
        <v>1989</v>
      </c>
      <c r="D261" s="8">
        <v>1990</v>
      </c>
      <c r="E261" s="8">
        <v>1991</v>
      </c>
      <c r="F261" s="8">
        <v>1992</v>
      </c>
      <c r="G261" s="8">
        <v>1993</v>
      </c>
      <c r="H261" s="8">
        <v>1994</v>
      </c>
      <c r="I261" s="8" t="s">
        <v>61</v>
      </c>
      <c r="J261" s="128" t="s">
        <v>122</v>
      </c>
      <c r="K261" s="128" t="s">
        <v>123</v>
      </c>
    </row>
    <row r="262" spans="1:11" x14ac:dyDescent="0.45">
      <c r="A262" s="3" t="s">
        <v>11</v>
      </c>
      <c r="B262" s="77">
        <v>72325</v>
      </c>
      <c r="C262" s="77">
        <v>58025</v>
      </c>
      <c r="D262" s="77">
        <v>29745</v>
      </c>
      <c r="E262" s="77">
        <v>74972</v>
      </c>
      <c r="F262" s="77">
        <v>94154</v>
      </c>
      <c r="G262" s="77">
        <v>54800</v>
      </c>
      <c r="H262" s="77">
        <v>80227</v>
      </c>
      <c r="I262" s="17">
        <f t="shared" ref="I262:I293" si="17">SUM(B262:H262)/7</f>
        <v>66321.142857142855</v>
      </c>
      <c r="J262" s="17">
        <v>1</v>
      </c>
      <c r="K262" s="17">
        <v>1</v>
      </c>
    </row>
    <row r="263" spans="1:11" x14ac:dyDescent="0.45">
      <c r="A263" s="3" t="s">
        <v>79</v>
      </c>
      <c r="B263" s="77">
        <v>6450</v>
      </c>
      <c r="C263" s="77">
        <v>1355</v>
      </c>
      <c r="D263" s="77">
        <v>16449</v>
      </c>
      <c r="E263" s="77">
        <v>3908</v>
      </c>
      <c r="F263" s="77">
        <v>40506</v>
      </c>
      <c r="G263" s="77">
        <v>6130</v>
      </c>
      <c r="H263" s="77">
        <v>5168</v>
      </c>
      <c r="I263" s="17">
        <f t="shared" si="17"/>
        <v>11423.714285714286</v>
      </c>
      <c r="J263" s="17">
        <v>1</v>
      </c>
      <c r="K263" s="17">
        <v>1</v>
      </c>
    </row>
    <row r="264" spans="1:11" x14ac:dyDescent="0.45">
      <c r="A264" s="3" t="s">
        <v>14</v>
      </c>
      <c r="B264" s="77">
        <v>2325</v>
      </c>
      <c r="C264" s="77">
        <v>7275</v>
      </c>
      <c r="D264" s="77">
        <v>1820</v>
      </c>
      <c r="E264" s="77">
        <v>4097</v>
      </c>
      <c r="F264" s="77">
        <v>12653</v>
      </c>
      <c r="G264" s="77">
        <v>4393</v>
      </c>
      <c r="H264" s="77">
        <v>3422</v>
      </c>
      <c r="I264" s="17">
        <f t="shared" si="17"/>
        <v>5140.7142857142853</v>
      </c>
      <c r="J264" s="17">
        <v>1</v>
      </c>
      <c r="K264" s="17">
        <v>1</v>
      </c>
    </row>
    <row r="265" spans="1:11" x14ac:dyDescent="0.45">
      <c r="A265" s="3" t="s">
        <v>80</v>
      </c>
      <c r="B265" s="77">
        <v>3060</v>
      </c>
      <c r="C265" s="77">
        <v>1338</v>
      </c>
      <c r="D265" s="77">
        <v>7097</v>
      </c>
      <c r="E265" s="77">
        <v>3376</v>
      </c>
      <c r="F265" s="77">
        <v>6306</v>
      </c>
      <c r="G265" s="77">
        <v>3328</v>
      </c>
      <c r="H265" s="77">
        <v>1155</v>
      </c>
      <c r="I265" s="17">
        <f t="shared" si="17"/>
        <v>3665.7142857142858</v>
      </c>
      <c r="J265" s="17">
        <v>1</v>
      </c>
      <c r="K265" s="17">
        <v>1</v>
      </c>
    </row>
    <row r="266" spans="1:11" x14ac:dyDescent="0.45">
      <c r="A266" s="3" t="s">
        <v>15</v>
      </c>
      <c r="B266" s="77">
        <v>3100</v>
      </c>
      <c r="C266" s="77">
        <v>2605</v>
      </c>
      <c r="D266" s="77">
        <v>327</v>
      </c>
      <c r="E266" s="77">
        <v>731</v>
      </c>
      <c r="F266" s="77">
        <v>7710</v>
      </c>
      <c r="G266" s="77">
        <v>2313</v>
      </c>
      <c r="H266" s="77">
        <v>827</v>
      </c>
      <c r="I266" s="17">
        <f t="shared" si="17"/>
        <v>2516.1428571428573</v>
      </c>
      <c r="J266" s="17">
        <v>1</v>
      </c>
      <c r="K266" s="17">
        <v>1</v>
      </c>
    </row>
    <row r="267" spans="1:11" x14ac:dyDescent="0.45">
      <c r="A267" s="3" t="s">
        <v>17</v>
      </c>
      <c r="B267" s="77"/>
      <c r="C267" s="77"/>
      <c r="D267" s="77"/>
      <c r="E267" s="77">
        <v>12350</v>
      </c>
      <c r="F267" s="77"/>
      <c r="G267" s="77"/>
      <c r="H267" s="77">
        <v>101</v>
      </c>
      <c r="I267" s="17">
        <f t="shared" si="17"/>
        <v>1778.7142857142858</v>
      </c>
      <c r="J267" s="17">
        <v>1</v>
      </c>
    </row>
    <row r="268" spans="1:11" x14ac:dyDescent="0.45">
      <c r="A268" s="3" t="s">
        <v>2</v>
      </c>
      <c r="B268" s="77">
        <v>2000</v>
      </c>
      <c r="C268" s="77">
        <v>7</v>
      </c>
      <c r="D268" s="77">
        <v>221</v>
      </c>
      <c r="E268" s="77">
        <v>148</v>
      </c>
      <c r="F268" s="77">
        <v>3098</v>
      </c>
      <c r="G268" s="77">
        <v>176</v>
      </c>
      <c r="H268" s="77">
        <v>422</v>
      </c>
      <c r="I268" s="17">
        <f t="shared" si="17"/>
        <v>867.42857142857144</v>
      </c>
      <c r="J268" s="17">
        <v>1</v>
      </c>
      <c r="K268" s="17">
        <v>1</v>
      </c>
    </row>
    <row r="269" spans="1:11" x14ac:dyDescent="0.45">
      <c r="A269" s="3" t="s">
        <v>40</v>
      </c>
      <c r="B269" s="77"/>
      <c r="C269" s="77"/>
      <c r="D269" s="77"/>
      <c r="E269" s="77"/>
      <c r="F269" s="77">
        <v>14</v>
      </c>
      <c r="G269" s="77">
        <v>4</v>
      </c>
      <c r="H269" s="77">
        <v>502</v>
      </c>
      <c r="I269" s="17">
        <f t="shared" si="17"/>
        <v>74.285714285714292</v>
      </c>
      <c r="J269" s="17">
        <v>1</v>
      </c>
      <c r="K269" s="17">
        <v>1</v>
      </c>
    </row>
    <row r="270" spans="1:11" x14ac:dyDescent="0.45">
      <c r="A270" s="3" t="s">
        <v>12</v>
      </c>
      <c r="B270" s="77">
        <v>164</v>
      </c>
      <c r="C270" s="77">
        <v>80</v>
      </c>
      <c r="D270" s="77"/>
      <c r="E270" s="77">
        <v>23</v>
      </c>
      <c r="F270" s="77">
        <v>89</v>
      </c>
      <c r="G270" s="77">
        <v>112</v>
      </c>
      <c r="H270" s="77">
        <v>43</v>
      </c>
      <c r="I270" s="17">
        <f t="shared" si="17"/>
        <v>73</v>
      </c>
      <c r="J270" s="17">
        <v>1</v>
      </c>
      <c r="K270" s="17">
        <v>1</v>
      </c>
    </row>
    <row r="271" spans="1:11" x14ac:dyDescent="0.45">
      <c r="A271" s="3" t="s">
        <v>1</v>
      </c>
      <c r="B271" s="77">
        <v>40</v>
      </c>
      <c r="C271" s="77">
        <v>30</v>
      </c>
      <c r="D271" s="77">
        <v>4</v>
      </c>
      <c r="E271" s="77">
        <v>39</v>
      </c>
      <c r="F271" s="77">
        <v>90</v>
      </c>
      <c r="G271" s="77">
        <v>164</v>
      </c>
      <c r="H271" s="77">
        <v>143</v>
      </c>
      <c r="I271" s="17">
        <f t="shared" si="17"/>
        <v>72.857142857142861</v>
      </c>
      <c r="J271" s="17">
        <v>1</v>
      </c>
      <c r="K271" s="17">
        <v>1</v>
      </c>
    </row>
    <row r="272" spans="1:11" x14ac:dyDescent="0.45">
      <c r="A272" s="3" t="s">
        <v>45</v>
      </c>
      <c r="B272" s="77"/>
      <c r="C272" s="77">
        <v>30</v>
      </c>
      <c r="D272" s="77">
        <v>24</v>
      </c>
      <c r="E272" s="77">
        <v>49</v>
      </c>
      <c r="F272" s="77">
        <v>72</v>
      </c>
      <c r="G272" s="77">
        <v>2</v>
      </c>
      <c r="H272" s="77">
        <v>2</v>
      </c>
      <c r="I272" s="17">
        <f t="shared" si="17"/>
        <v>25.571428571428573</v>
      </c>
      <c r="J272" s="17">
        <v>1</v>
      </c>
      <c r="K272" s="17">
        <v>1</v>
      </c>
    </row>
    <row r="273" spans="1:11" x14ac:dyDescent="0.45">
      <c r="A273" s="3" t="s">
        <v>7</v>
      </c>
      <c r="B273" s="77">
        <v>2</v>
      </c>
      <c r="C273" s="77">
        <v>9</v>
      </c>
      <c r="D273" s="77">
        <v>3</v>
      </c>
      <c r="E273" s="77">
        <v>15</v>
      </c>
      <c r="F273" s="77">
        <v>82</v>
      </c>
      <c r="G273" s="77">
        <v>24</v>
      </c>
      <c r="H273" s="77">
        <v>10</v>
      </c>
      <c r="I273" s="17">
        <f t="shared" si="17"/>
        <v>20.714285714285715</v>
      </c>
      <c r="J273" s="17">
        <v>1</v>
      </c>
      <c r="K273" s="17">
        <v>1</v>
      </c>
    </row>
    <row r="274" spans="1:11" x14ac:dyDescent="0.45">
      <c r="A274" s="3" t="s">
        <v>44</v>
      </c>
      <c r="B274" s="77">
        <v>5</v>
      </c>
      <c r="C274" s="77">
        <v>3</v>
      </c>
      <c r="D274" s="77">
        <v>5</v>
      </c>
      <c r="E274" s="77">
        <v>13</v>
      </c>
      <c r="F274" s="77">
        <v>36</v>
      </c>
      <c r="G274" s="77">
        <v>8</v>
      </c>
      <c r="H274" s="77">
        <v>17</v>
      </c>
      <c r="I274" s="17">
        <f t="shared" si="17"/>
        <v>12.428571428571429</v>
      </c>
      <c r="J274" s="17">
        <v>1</v>
      </c>
      <c r="K274" s="17">
        <v>1</v>
      </c>
    </row>
    <row r="275" spans="1:11" x14ac:dyDescent="0.45">
      <c r="A275" s="3" t="s">
        <v>3</v>
      </c>
      <c r="B275" s="77"/>
      <c r="C275" s="77"/>
      <c r="D275" s="77"/>
      <c r="E275" s="77"/>
      <c r="F275" s="77">
        <v>36</v>
      </c>
      <c r="G275" s="77">
        <v>14</v>
      </c>
      <c r="H275" s="77"/>
      <c r="I275" s="17">
        <f t="shared" si="17"/>
        <v>7.1428571428571432</v>
      </c>
      <c r="J275" s="17">
        <v>1</v>
      </c>
    </row>
    <row r="276" spans="1:11" x14ac:dyDescent="0.45">
      <c r="A276" s="3" t="s">
        <v>8</v>
      </c>
      <c r="B276" s="77"/>
      <c r="C276" s="77"/>
      <c r="D276" s="77"/>
      <c r="E276" s="77">
        <v>12</v>
      </c>
      <c r="F276" s="77">
        <v>7</v>
      </c>
      <c r="G276" s="77">
        <v>13</v>
      </c>
      <c r="H276" s="77">
        <v>10</v>
      </c>
      <c r="I276" s="17">
        <f t="shared" si="17"/>
        <v>6</v>
      </c>
      <c r="J276" s="17">
        <v>1</v>
      </c>
      <c r="K276" s="17">
        <v>1</v>
      </c>
    </row>
    <row r="277" spans="1:11" x14ac:dyDescent="0.45">
      <c r="A277" s="3" t="s">
        <v>84</v>
      </c>
      <c r="B277" s="77"/>
      <c r="C277" s="77"/>
      <c r="D277" s="77"/>
      <c r="E277" s="77"/>
      <c r="F277" s="77"/>
      <c r="G277" s="77">
        <v>5</v>
      </c>
      <c r="H277" s="77">
        <v>33</v>
      </c>
      <c r="I277" s="17">
        <f t="shared" si="17"/>
        <v>5.4285714285714288</v>
      </c>
      <c r="J277" s="17">
        <v>1</v>
      </c>
      <c r="K277" s="17">
        <v>1</v>
      </c>
    </row>
    <row r="278" spans="1:11" x14ac:dyDescent="0.45">
      <c r="A278" s="3" t="s">
        <v>53</v>
      </c>
      <c r="B278" s="77"/>
      <c r="C278" s="77"/>
      <c r="D278" s="77"/>
      <c r="E278" s="77">
        <v>8</v>
      </c>
      <c r="F278" s="77"/>
      <c r="G278" s="77">
        <v>11</v>
      </c>
      <c r="H278" s="77">
        <v>8</v>
      </c>
      <c r="I278" s="17">
        <f t="shared" si="17"/>
        <v>3.8571428571428572</v>
      </c>
      <c r="J278" s="17">
        <v>1</v>
      </c>
      <c r="K278" s="17">
        <v>1</v>
      </c>
    </row>
    <row r="279" spans="1:11" x14ac:dyDescent="0.45">
      <c r="A279" s="3" t="s">
        <v>42</v>
      </c>
      <c r="B279" s="77"/>
      <c r="C279" s="77">
        <v>4</v>
      </c>
      <c r="D279" s="77"/>
      <c r="E279" s="77">
        <v>3</v>
      </c>
      <c r="F279" s="77">
        <v>4</v>
      </c>
      <c r="G279" s="77">
        <v>2</v>
      </c>
      <c r="H279" s="77">
        <v>11</v>
      </c>
      <c r="I279" s="17">
        <f t="shared" si="17"/>
        <v>3.4285714285714284</v>
      </c>
      <c r="J279" s="17">
        <v>1</v>
      </c>
      <c r="K279" s="17">
        <v>1</v>
      </c>
    </row>
    <row r="280" spans="1:11" x14ac:dyDescent="0.45">
      <c r="A280" s="3" t="s">
        <v>13</v>
      </c>
      <c r="B280" s="77">
        <v>16</v>
      </c>
      <c r="C280" s="77"/>
      <c r="D280" s="77"/>
      <c r="E280" s="77">
        <v>1</v>
      </c>
      <c r="F280" s="77">
        <v>1</v>
      </c>
      <c r="G280" s="77"/>
      <c r="H280" s="77">
        <v>1</v>
      </c>
      <c r="I280" s="17">
        <f t="shared" si="17"/>
        <v>2.7142857142857144</v>
      </c>
      <c r="J280" s="17">
        <v>1</v>
      </c>
      <c r="K280" s="17">
        <v>1</v>
      </c>
    </row>
    <row r="281" spans="1:11" x14ac:dyDescent="0.45">
      <c r="A281" s="3" t="s">
        <v>50</v>
      </c>
      <c r="B281" s="77"/>
      <c r="C281" s="77"/>
      <c r="D281" s="77"/>
      <c r="E281" s="77">
        <v>5</v>
      </c>
      <c r="F281" s="77">
        <v>5</v>
      </c>
      <c r="G281" s="77"/>
      <c r="H281" s="77"/>
      <c r="I281" s="17">
        <f t="shared" si="17"/>
        <v>1.4285714285714286</v>
      </c>
      <c r="J281" s="17">
        <v>1</v>
      </c>
      <c r="K281" s="17">
        <v>1</v>
      </c>
    </row>
    <row r="282" spans="1:11" x14ac:dyDescent="0.45">
      <c r="A282" s="3" t="s">
        <v>46</v>
      </c>
      <c r="B282" s="77"/>
      <c r="C282" s="77"/>
      <c r="D282" s="77"/>
      <c r="E282" s="77"/>
      <c r="F282" s="77"/>
      <c r="G282" s="77">
        <v>9</v>
      </c>
      <c r="H282" s="77"/>
      <c r="I282" s="17">
        <f t="shared" si="17"/>
        <v>1.2857142857142858</v>
      </c>
      <c r="J282" s="17">
        <v>1</v>
      </c>
      <c r="K282" s="17">
        <v>1</v>
      </c>
    </row>
    <row r="283" spans="1:11" x14ac:dyDescent="0.45">
      <c r="A283" s="3" t="s">
        <v>52</v>
      </c>
      <c r="B283" s="77"/>
      <c r="C283" s="77">
        <v>1</v>
      </c>
      <c r="D283" s="77"/>
      <c r="E283" s="77"/>
      <c r="F283" s="77">
        <v>1</v>
      </c>
      <c r="G283" s="77">
        <v>5</v>
      </c>
      <c r="H283" s="77">
        <v>1</v>
      </c>
      <c r="I283" s="17">
        <f t="shared" si="17"/>
        <v>1.1428571428571428</v>
      </c>
      <c r="J283" s="17">
        <v>1</v>
      </c>
      <c r="K283" s="17">
        <v>1</v>
      </c>
    </row>
    <row r="284" spans="1:11" x14ac:dyDescent="0.45">
      <c r="A284" s="3" t="s">
        <v>83</v>
      </c>
      <c r="B284" s="77"/>
      <c r="C284" s="77"/>
      <c r="D284" s="77"/>
      <c r="E284" s="77">
        <v>7</v>
      </c>
      <c r="F284" s="77"/>
      <c r="G284" s="77"/>
      <c r="H284" s="77"/>
      <c r="I284" s="17">
        <f t="shared" si="17"/>
        <v>1</v>
      </c>
      <c r="J284" s="17">
        <v>1</v>
      </c>
      <c r="K284" s="17">
        <v>1</v>
      </c>
    </row>
    <row r="285" spans="1:11" x14ac:dyDescent="0.45">
      <c r="A285" s="3" t="s">
        <v>51</v>
      </c>
      <c r="B285" s="77"/>
      <c r="C285" s="77"/>
      <c r="D285" s="77"/>
      <c r="E285" s="77"/>
      <c r="F285" s="77">
        <v>1</v>
      </c>
      <c r="G285" s="77">
        <v>3</v>
      </c>
      <c r="H285" s="77">
        <v>1</v>
      </c>
      <c r="I285" s="17">
        <f t="shared" si="17"/>
        <v>0.7142857142857143</v>
      </c>
      <c r="J285" s="17">
        <v>1</v>
      </c>
      <c r="K285" s="17">
        <v>1</v>
      </c>
    </row>
    <row r="286" spans="1:11" x14ac:dyDescent="0.45">
      <c r="A286" s="79" t="s">
        <v>81</v>
      </c>
      <c r="B286" s="81"/>
      <c r="C286" s="81"/>
      <c r="D286" s="77">
        <v>2</v>
      </c>
      <c r="E286" s="81"/>
      <c r="F286" s="77">
        <v>2</v>
      </c>
      <c r="G286" s="81"/>
      <c r="H286" s="81"/>
      <c r="I286" s="20">
        <f t="shared" si="17"/>
        <v>0.5714285714285714</v>
      </c>
      <c r="J286" s="17">
        <v>1</v>
      </c>
    </row>
    <row r="287" spans="1:11" x14ac:dyDescent="0.45">
      <c r="A287" s="3" t="s">
        <v>4</v>
      </c>
      <c r="B287" s="77"/>
      <c r="C287" s="77"/>
      <c r="D287" s="77"/>
      <c r="E287" s="77">
        <v>2</v>
      </c>
      <c r="F287" s="77"/>
      <c r="G287" s="77"/>
      <c r="H287" s="77">
        <v>1</v>
      </c>
      <c r="I287" s="17">
        <f t="shared" si="17"/>
        <v>0.42857142857142855</v>
      </c>
      <c r="J287" s="17">
        <v>1</v>
      </c>
    </row>
    <row r="288" spans="1:11" x14ac:dyDescent="0.45">
      <c r="A288" s="3" t="s">
        <v>54</v>
      </c>
      <c r="B288" s="77"/>
      <c r="C288" s="77"/>
      <c r="D288" s="77"/>
      <c r="E288" s="77"/>
      <c r="F288" s="77">
        <v>2</v>
      </c>
      <c r="G288" s="77"/>
      <c r="H288" s="77"/>
      <c r="I288" s="17">
        <f t="shared" si="17"/>
        <v>0.2857142857142857</v>
      </c>
      <c r="J288" s="17">
        <v>1</v>
      </c>
      <c r="K288" s="17">
        <v>1</v>
      </c>
    </row>
    <row r="289" spans="1:11" x14ac:dyDescent="0.45">
      <c r="A289" s="3" t="s">
        <v>32</v>
      </c>
      <c r="B289" s="77"/>
      <c r="C289" s="77"/>
      <c r="D289" s="77"/>
      <c r="E289" s="77"/>
      <c r="F289" s="77"/>
      <c r="G289" s="77"/>
      <c r="H289" s="77">
        <v>2</v>
      </c>
      <c r="I289" s="17">
        <f t="shared" si="17"/>
        <v>0.2857142857142857</v>
      </c>
      <c r="J289" s="17">
        <v>1</v>
      </c>
      <c r="K289" s="17">
        <v>1</v>
      </c>
    </row>
    <row r="290" spans="1:11" x14ac:dyDescent="0.45">
      <c r="A290" s="3" t="s">
        <v>43</v>
      </c>
      <c r="B290" s="77"/>
      <c r="C290" s="77"/>
      <c r="D290" s="77"/>
      <c r="E290" s="77"/>
      <c r="F290" s="77"/>
      <c r="G290" s="77">
        <v>1</v>
      </c>
      <c r="H290" s="77"/>
      <c r="I290" s="17">
        <f t="shared" si="17"/>
        <v>0.14285714285714285</v>
      </c>
      <c r="J290" s="17">
        <v>1</v>
      </c>
    </row>
    <row r="291" spans="1:11" x14ac:dyDescent="0.45">
      <c r="A291" s="78" t="s">
        <v>85</v>
      </c>
      <c r="B291" s="80"/>
      <c r="C291" s="80"/>
      <c r="D291" s="80"/>
      <c r="E291" s="80"/>
      <c r="F291" s="80"/>
      <c r="G291" s="80"/>
      <c r="H291" s="80">
        <v>1</v>
      </c>
      <c r="I291" s="82">
        <f t="shared" si="17"/>
        <v>0.14285714285714285</v>
      </c>
      <c r="J291" s="17">
        <v>1</v>
      </c>
    </row>
    <row r="292" spans="1:11" x14ac:dyDescent="0.45">
      <c r="A292" s="83" t="s">
        <v>120</v>
      </c>
      <c r="B292" s="77">
        <v>89487</v>
      </c>
      <c r="C292" s="77">
        <v>70762</v>
      </c>
      <c r="D292" s="77">
        <v>55697</v>
      </c>
      <c r="E292" s="77">
        <v>99759</v>
      </c>
      <c r="F292" s="77">
        <v>164869</v>
      </c>
      <c r="G292" s="77">
        <v>71517</v>
      </c>
      <c r="H292" s="77">
        <v>92108</v>
      </c>
      <c r="I292" s="17">
        <f t="shared" si="17"/>
        <v>92028.428571428565</v>
      </c>
      <c r="J292" s="17">
        <f>SUM(J262:J291)</f>
        <v>30</v>
      </c>
    </row>
    <row r="293" spans="1:11" x14ac:dyDescent="0.45">
      <c r="A293" s="84" t="s">
        <v>121</v>
      </c>
      <c r="B293">
        <v>11</v>
      </c>
      <c r="C293">
        <v>13</v>
      </c>
      <c r="D293">
        <v>11</v>
      </c>
      <c r="E293">
        <v>19</v>
      </c>
      <c r="F293">
        <v>21</v>
      </c>
      <c r="G293">
        <v>21</v>
      </c>
      <c r="H293" s="77">
        <v>23</v>
      </c>
      <c r="I293" s="17">
        <f t="shared" si="17"/>
        <v>17</v>
      </c>
      <c r="K293" s="17">
        <f>SUM(K262:K291)</f>
        <v>24</v>
      </c>
    </row>
    <row r="296" spans="1:11" x14ac:dyDescent="0.45">
      <c r="A296" s="37" t="s">
        <v>119</v>
      </c>
      <c r="B296" s="2"/>
      <c r="C296" s="2"/>
      <c r="D296" s="2"/>
      <c r="E296" s="2"/>
      <c r="F296" s="2"/>
      <c r="G296" s="2"/>
      <c r="H296" s="2"/>
    </row>
    <row r="297" spans="1:11" x14ac:dyDescent="0.45">
      <c r="A297" s="2" t="s">
        <v>89</v>
      </c>
      <c r="B297" s="2"/>
      <c r="C297" s="2"/>
      <c r="D297" s="2"/>
      <c r="E297" s="2"/>
      <c r="F297" s="2"/>
      <c r="G297" s="2"/>
      <c r="H297" s="2"/>
    </row>
    <row r="298" spans="1:11" x14ac:dyDescent="0.45">
      <c r="A298" s="2"/>
      <c r="B298" s="2"/>
      <c r="C298" s="2"/>
      <c r="D298" s="2"/>
      <c r="E298" s="2"/>
      <c r="F298" s="2"/>
      <c r="G298" s="2"/>
      <c r="H298" s="2"/>
    </row>
    <row r="299" spans="1:11" x14ac:dyDescent="0.45">
      <c r="A299" s="18">
        <v>1986</v>
      </c>
      <c r="B299" s="2"/>
      <c r="C299" s="2"/>
      <c r="D299" s="2"/>
      <c r="E299" s="2"/>
      <c r="F299" s="2"/>
      <c r="G299" s="2"/>
      <c r="H299" s="2"/>
    </row>
    <row r="300" spans="1:11" x14ac:dyDescent="0.45">
      <c r="A300" s="2" t="s">
        <v>78</v>
      </c>
      <c r="B300" s="2"/>
      <c r="C300" s="2"/>
      <c r="D300" s="2"/>
      <c r="E300" s="2"/>
      <c r="F300" s="2"/>
      <c r="G300" s="2"/>
      <c r="H300" s="2"/>
    </row>
    <row r="301" spans="1:11" x14ac:dyDescent="0.45">
      <c r="A301" s="38"/>
      <c r="B301" s="39">
        <v>31528</v>
      </c>
      <c r="C301" s="39">
        <v>31533</v>
      </c>
      <c r="D301" s="40">
        <v>31538</v>
      </c>
      <c r="E301" s="40">
        <v>31543</v>
      </c>
      <c r="F301" s="40">
        <v>31548</v>
      </c>
      <c r="G301" s="39">
        <v>31553</v>
      </c>
      <c r="H301" s="69" t="s">
        <v>24</v>
      </c>
    </row>
    <row r="302" spans="1:11" x14ac:dyDescent="0.45">
      <c r="A302" s="38" t="s">
        <v>11</v>
      </c>
      <c r="B302" s="2"/>
      <c r="C302" s="2"/>
      <c r="D302" s="43">
        <v>6000</v>
      </c>
      <c r="E302" s="43">
        <v>8000</v>
      </c>
      <c r="F302" s="44"/>
      <c r="G302" s="2"/>
      <c r="H302" s="17">
        <f>SUM(B302:G302)</f>
        <v>14000</v>
      </c>
    </row>
    <row r="303" spans="1:11" x14ac:dyDescent="0.45">
      <c r="A303" s="38" t="s">
        <v>79</v>
      </c>
      <c r="B303" s="2"/>
      <c r="C303" s="2"/>
      <c r="D303" s="43">
        <v>300</v>
      </c>
      <c r="E303" s="43">
        <v>700</v>
      </c>
      <c r="F303" s="44"/>
      <c r="G303" s="2"/>
      <c r="H303" s="17">
        <f t="shared" ref="H303:H313" si="18">SUM(B303:G303)</f>
        <v>1000</v>
      </c>
    </row>
    <row r="304" spans="1:11" x14ac:dyDescent="0.45">
      <c r="A304" s="38" t="s">
        <v>15</v>
      </c>
      <c r="B304" s="2"/>
      <c r="C304" s="2"/>
      <c r="D304" s="43">
        <v>200</v>
      </c>
      <c r="E304" s="43">
        <v>400</v>
      </c>
      <c r="F304" s="44"/>
      <c r="G304" s="2"/>
      <c r="H304" s="17">
        <f t="shared" si="18"/>
        <v>600</v>
      </c>
    </row>
    <row r="305" spans="1:8" x14ac:dyDescent="0.45">
      <c r="A305" s="38" t="s">
        <v>80</v>
      </c>
      <c r="B305" s="2"/>
      <c r="C305" s="2"/>
      <c r="D305" s="42">
        <v>100</v>
      </c>
      <c r="E305" s="43">
        <v>500</v>
      </c>
      <c r="F305" s="44"/>
      <c r="G305" s="2"/>
      <c r="H305" s="17">
        <f t="shared" si="18"/>
        <v>600</v>
      </c>
    </row>
    <row r="306" spans="1:8" x14ac:dyDescent="0.45">
      <c r="A306" s="38" t="s">
        <v>14</v>
      </c>
      <c r="B306" s="2"/>
      <c r="C306" s="2"/>
      <c r="D306" s="42">
        <v>30</v>
      </c>
      <c r="E306" s="43">
        <v>100</v>
      </c>
      <c r="F306" s="44"/>
      <c r="G306" s="2"/>
      <c r="H306" s="17">
        <f t="shared" si="18"/>
        <v>130</v>
      </c>
    </row>
    <row r="307" spans="1:8" x14ac:dyDescent="0.45">
      <c r="A307" s="38" t="s">
        <v>2</v>
      </c>
      <c r="B307" s="2"/>
      <c r="C307" s="2"/>
      <c r="D307" s="42">
        <v>200</v>
      </c>
      <c r="E307" s="43">
        <v>75</v>
      </c>
      <c r="F307" s="44"/>
      <c r="G307" s="2"/>
      <c r="H307" s="17">
        <f t="shared" si="18"/>
        <v>275</v>
      </c>
    </row>
    <row r="308" spans="1:8" x14ac:dyDescent="0.45">
      <c r="A308" s="38" t="s">
        <v>12</v>
      </c>
      <c r="B308" s="2"/>
      <c r="C308" s="2"/>
      <c r="D308" s="45"/>
      <c r="E308" s="43">
        <v>50</v>
      </c>
      <c r="F308" s="44"/>
      <c r="G308" s="2"/>
      <c r="H308" s="17">
        <f t="shared" si="18"/>
        <v>50</v>
      </c>
    </row>
    <row r="309" spans="1:8" x14ac:dyDescent="0.45">
      <c r="A309" s="38" t="s">
        <v>1</v>
      </c>
      <c r="B309" s="2"/>
      <c r="C309" s="2"/>
      <c r="D309" s="43">
        <v>1</v>
      </c>
      <c r="E309" s="43">
        <v>5</v>
      </c>
      <c r="F309" s="44"/>
      <c r="G309" s="2"/>
      <c r="H309" s="17">
        <f t="shared" si="18"/>
        <v>6</v>
      </c>
    </row>
    <row r="310" spans="1:8" x14ac:dyDescent="0.45">
      <c r="A310" s="38" t="s">
        <v>13</v>
      </c>
      <c r="B310" s="2"/>
      <c r="C310" s="2"/>
      <c r="D310" s="45"/>
      <c r="E310" s="43">
        <v>2</v>
      </c>
      <c r="F310" s="44"/>
      <c r="G310" s="2"/>
      <c r="H310" s="17">
        <f t="shared" si="18"/>
        <v>2</v>
      </c>
    </row>
    <row r="311" spans="1:8" x14ac:dyDescent="0.45">
      <c r="A311" s="38" t="s">
        <v>44</v>
      </c>
      <c r="B311" s="2"/>
      <c r="C311" s="2"/>
      <c r="D311" s="45"/>
      <c r="E311" s="43">
        <v>1</v>
      </c>
      <c r="F311" s="44"/>
      <c r="G311" s="2"/>
      <c r="H311" s="17">
        <f t="shared" si="18"/>
        <v>1</v>
      </c>
    </row>
    <row r="312" spans="1:8" x14ac:dyDescent="0.45">
      <c r="A312" s="38" t="s">
        <v>7</v>
      </c>
      <c r="B312" s="2"/>
      <c r="C312" s="2"/>
      <c r="D312" s="44"/>
      <c r="E312" s="44"/>
      <c r="F312" s="44"/>
      <c r="G312" s="2"/>
      <c r="H312" s="17">
        <f t="shared" si="18"/>
        <v>0</v>
      </c>
    </row>
    <row r="313" spans="1:8" x14ac:dyDescent="0.45">
      <c r="A313" s="2" t="s">
        <v>24</v>
      </c>
      <c r="B313" s="2">
        <f>SUM(B302:B312)</f>
        <v>0</v>
      </c>
      <c r="C313" s="2">
        <f>SUM(C302:C312)</f>
        <v>0</v>
      </c>
      <c r="D313" s="2">
        <f>SUM(D302:D312)</f>
        <v>6831</v>
      </c>
      <c r="E313" s="2">
        <f>SUM(E302:E312)</f>
        <v>9833</v>
      </c>
      <c r="F313" s="2">
        <f>SUM(F302:F312)</f>
        <v>0</v>
      </c>
      <c r="G313" s="2">
        <f>SUM(G303:G312)</f>
        <v>0</v>
      </c>
      <c r="H313" s="17">
        <f t="shared" si="18"/>
        <v>16664</v>
      </c>
    </row>
    <row r="314" spans="1:8" x14ac:dyDescent="0.45">
      <c r="A314" s="2"/>
      <c r="B314" s="2"/>
      <c r="C314" s="2"/>
      <c r="D314" s="2"/>
      <c r="E314" s="2"/>
      <c r="F314" s="2"/>
      <c r="G314" s="2"/>
      <c r="H314" s="2"/>
    </row>
    <row r="315" spans="1:8" x14ac:dyDescent="0.45">
      <c r="A315" s="70">
        <v>1989</v>
      </c>
      <c r="B315" s="2"/>
      <c r="C315" s="2"/>
      <c r="D315" s="2"/>
      <c r="E315" s="2"/>
      <c r="F315" s="2"/>
      <c r="G315" s="2"/>
      <c r="H315" s="2"/>
    </row>
    <row r="316" spans="1:8" x14ac:dyDescent="0.45">
      <c r="A316" s="71" t="s">
        <v>86</v>
      </c>
      <c r="B316" s="2"/>
      <c r="C316" s="2"/>
      <c r="D316" s="2"/>
      <c r="E316" s="2"/>
      <c r="F316" s="2"/>
      <c r="G316" s="2"/>
      <c r="H316" s="2"/>
    </row>
    <row r="317" spans="1:8" x14ac:dyDescent="0.45">
      <c r="A317" s="2"/>
      <c r="B317" s="39">
        <v>32624</v>
      </c>
      <c r="C317" s="40">
        <v>32629</v>
      </c>
      <c r="D317" s="40">
        <v>32634</v>
      </c>
      <c r="E317" s="40">
        <v>32639</v>
      </c>
      <c r="F317" s="40">
        <v>32644</v>
      </c>
      <c r="G317" s="2" t="s">
        <v>87</v>
      </c>
      <c r="H317" s="69" t="s">
        <v>24</v>
      </c>
    </row>
    <row r="318" spans="1:8" x14ac:dyDescent="0.45">
      <c r="A318" s="38" t="s">
        <v>11</v>
      </c>
      <c r="B318" s="44"/>
      <c r="C318" s="42">
        <v>1000</v>
      </c>
      <c r="D318" s="42">
        <v>500</v>
      </c>
      <c r="E318" s="43">
        <v>10000</v>
      </c>
      <c r="F318" s="42">
        <v>500</v>
      </c>
      <c r="G318" s="59">
        <v>25</v>
      </c>
      <c r="H318" s="17">
        <f>SUM(B318:G318)</f>
        <v>12025</v>
      </c>
    </row>
    <row r="319" spans="1:8" x14ac:dyDescent="0.45">
      <c r="A319" s="38" t="s">
        <v>14</v>
      </c>
      <c r="B319" s="44"/>
      <c r="C319" s="42">
        <v>10</v>
      </c>
      <c r="D319" s="42">
        <v>50</v>
      </c>
      <c r="E319" s="42">
        <v>1500</v>
      </c>
      <c r="F319" s="42">
        <v>200</v>
      </c>
      <c r="G319" s="2"/>
      <c r="H319" s="17">
        <f t="shared" ref="H319:H331" si="19">SUM(B319:G319)</f>
        <v>1760</v>
      </c>
    </row>
    <row r="320" spans="1:8" x14ac:dyDescent="0.45">
      <c r="A320" s="38" t="s">
        <v>15</v>
      </c>
      <c r="B320" s="44"/>
      <c r="C320" s="45"/>
      <c r="D320" s="45"/>
      <c r="E320" s="42">
        <v>500</v>
      </c>
      <c r="F320" s="43">
        <v>25</v>
      </c>
      <c r="G320" s="2"/>
      <c r="H320" s="17">
        <f t="shared" si="19"/>
        <v>525</v>
      </c>
    </row>
    <row r="321" spans="1:8" x14ac:dyDescent="0.45">
      <c r="A321" s="38" t="s">
        <v>79</v>
      </c>
      <c r="B321" s="44"/>
      <c r="C321" s="44"/>
      <c r="D321" s="42">
        <v>50</v>
      </c>
      <c r="E321" s="45"/>
      <c r="F321" s="42">
        <v>25</v>
      </c>
      <c r="G321" s="2"/>
      <c r="H321" s="17">
        <f t="shared" si="19"/>
        <v>75</v>
      </c>
    </row>
    <row r="322" spans="1:8" x14ac:dyDescent="0.45">
      <c r="A322" s="38" t="s">
        <v>80</v>
      </c>
      <c r="B322" s="44"/>
      <c r="C322" s="43">
        <v>1</v>
      </c>
      <c r="D322" s="43">
        <v>250</v>
      </c>
      <c r="E322" s="45"/>
      <c r="F322" s="43">
        <v>200</v>
      </c>
      <c r="G322" s="2"/>
      <c r="H322" s="17">
        <f t="shared" si="19"/>
        <v>451</v>
      </c>
    </row>
    <row r="323" spans="1:8" x14ac:dyDescent="0.45">
      <c r="A323" s="38" t="s">
        <v>12</v>
      </c>
      <c r="B323" s="44"/>
      <c r="C323" s="43"/>
      <c r="D323" s="43"/>
      <c r="E323" s="43"/>
      <c r="F323" s="43"/>
      <c r="G323" s="2"/>
      <c r="H323" s="17">
        <f t="shared" si="19"/>
        <v>0</v>
      </c>
    </row>
    <row r="324" spans="1:8" x14ac:dyDescent="0.45">
      <c r="A324" s="38" t="s">
        <v>45</v>
      </c>
      <c r="B324" s="44"/>
      <c r="C324" s="44"/>
      <c r="D324" s="45"/>
      <c r="E324" s="43">
        <v>8</v>
      </c>
      <c r="F324" s="44"/>
      <c r="G324" s="2"/>
      <c r="H324" s="17">
        <f t="shared" si="19"/>
        <v>8</v>
      </c>
    </row>
    <row r="325" spans="1:8" x14ac:dyDescent="0.45">
      <c r="A325" s="38" t="s">
        <v>1</v>
      </c>
      <c r="B325" s="44"/>
      <c r="C325" s="44"/>
      <c r="D325" s="45"/>
      <c r="E325" s="44"/>
      <c r="F325" s="44"/>
      <c r="G325" s="2"/>
      <c r="H325" s="17">
        <f t="shared" si="19"/>
        <v>0</v>
      </c>
    </row>
    <row r="326" spans="1:8" x14ac:dyDescent="0.45">
      <c r="A326" s="38" t="s">
        <v>7</v>
      </c>
      <c r="B326" s="44"/>
      <c r="C326" s="44"/>
      <c r="D326" s="44"/>
      <c r="E326" s="44"/>
      <c r="F326" s="44"/>
      <c r="G326" s="2"/>
      <c r="H326" s="17">
        <f t="shared" si="19"/>
        <v>0</v>
      </c>
    </row>
    <row r="327" spans="1:8" x14ac:dyDescent="0.45">
      <c r="A327" s="38" t="s">
        <v>2</v>
      </c>
      <c r="B327" s="44"/>
      <c r="C327" s="44"/>
      <c r="D327" s="44"/>
      <c r="E327" s="43">
        <v>1</v>
      </c>
      <c r="F327" s="45"/>
      <c r="G327" s="2"/>
      <c r="H327" s="17">
        <f t="shared" si="19"/>
        <v>1</v>
      </c>
    </row>
    <row r="328" spans="1:8" x14ac:dyDescent="0.45">
      <c r="A328" s="38" t="s">
        <v>42</v>
      </c>
      <c r="B328" s="44"/>
      <c r="C328" s="44"/>
      <c r="D328" s="43">
        <v>3</v>
      </c>
      <c r="E328" s="42">
        <v>1</v>
      </c>
      <c r="F328" s="45"/>
      <c r="G328" s="2"/>
      <c r="H328" s="17">
        <f t="shared" si="19"/>
        <v>4</v>
      </c>
    </row>
    <row r="329" spans="1:8" x14ac:dyDescent="0.45">
      <c r="A329" s="38" t="s">
        <v>44</v>
      </c>
      <c r="B329" s="44"/>
      <c r="C329" s="44"/>
      <c r="D329" s="42"/>
      <c r="E329" s="44"/>
      <c r="F329" s="44"/>
      <c r="G329" s="2"/>
      <c r="H329" s="17">
        <f t="shared" si="19"/>
        <v>0</v>
      </c>
    </row>
    <row r="330" spans="1:8" x14ac:dyDescent="0.45">
      <c r="A330" s="38" t="s">
        <v>52</v>
      </c>
      <c r="B330" s="44"/>
      <c r="C330" s="45"/>
      <c r="D330" s="45"/>
      <c r="E330" s="45"/>
      <c r="F330" s="45"/>
      <c r="G330" s="2"/>
      <c r="H330" s="17">
        <f t="shared" si="19"/>
        <v>0</v>
      </c>
    </row>
    <row r="331" spans="1:8" x14ac:dyDescent="0.45">
      <c r="A331" s="2" t="s">
        <v>24</v>
      </c>
      <c r="B331" s="17">
        <f t="shared" ref="B331:G331" si="20">SUM(B318:B330)</f>
        <v>0</v>
      </c>
      <c r="C331" s="17">
        <f t="shared" si="20"/>
        <v>1011</v>
      </c>
      <c r="D331" s="17">
        <f t="shared" si="20"/>
        <v>853</v>
      </c>
      <c r="E331" s="17">
        <f t="shared" si="20"/>
        <v>12010</v>
      </c>
      <c r="F331" s="17">
        <f t="shared" si="20"/>
        <v>950</v>
      </c>
      <c r="G331" s="17">
        <f t="shared" si="20"/>
        <v>25</v>
      </c>
      <c r="H331" s="17">
        <f t="shared" si="19"/>
        <v>14849</v>
      </c>
    </row>
    <row r="332" spans="1:8" x14ac:dyDescent="0.45">
      <c r="A332" s="2"/>
      <c r="B332" s="2"/>
      <c r="C332" s="2"/>
      <c r="D332" s="2"/>
      <c r="E332" s="2"/>
      <c r="F332" s="2"/>
      <c r="G332" s="2"/>
      <c r="H332" s="2"/>
    </row>
    <row r="333" spans="1:8" x14ac:dyDescent="0.45">
      <c r="A333" s="70">
        <v>1990</v>
      </c>
      <c r="B333" s="2"/>
      <c r="C333" s="2"/>
      <c r="D333" s="2"/>
      <c r="E333" s="2"/>
      <c r="F333" s="2"/>
      <c r="G333" s="2"/>
      <c r="H333" s="2"/>
    </row>
    <row r="334" spans="1:8" x14ac:dyDescent="0.45">
      <c r="A334" s="71" t="s">
        <v>86</v>
      </c>
      <c r="B334" s="2"/>
      <c r="C334" s="2"/>
      <c r="D334" s="2"/>
      <c r="E334" s="2"/>
      <c r="F334" s="2"/>
      <c r="G334" s="2"/>
      <c r="H334" s="2"/>
    </row>
    <row r="335" spans="1:8" x14ac:dyDescent="0.45">
      <c r="A335" s="38"/>
      <c r="B335" s="39">
        <v>32989</v>
      </c>
      <c r="C335" s="40">
        <v>32994</v>
      </c>
      <c r="D335" s="40">
        <v>32999</v>
      </c>
      <c r="E335" s="40">
        <v>33004</v>
      </c>
      <c r="F335" s="40">
        <v>33009</v>
      </c>
      <c r="G335" s="39">
        <v>33014</v>
      </c>
      <c r="H335" s="69" t="s">
        <v>24</v>
      </c>
    </row>
    <row r="336" spans="1:8" x14ac:dyDescent="0.45">
      <c r="A336" s="38" t="s">
        <v>11</v>
      </c>
      <c r="B336" s="44"/>
      <c r="C336" s="42">
        <v>190</v>
      </c>
      <c r="D336" s="42">
        <v>950</v>
      </c>
      <c r="E336" s="42">
        <v>370</v>
      </c>
      <c r="F336" s="42">
        <v>500</v>
      </c>
      <c r="G336" s="2"/>
      <c r="H336" s="17">
        <f>SUM(B336:G336)</f>
        <v>2010</v>
      </c>
    </row>
    <row r="337" spans="1:8" x14ac:dyDescent="0.45">
      <c r="A337" s="38" t="s">
        <v>79</v>
      </c>
      <c r="B337" s="44"/>
      <c r="C337" s="42">
        <v>75</v>
      </c>
      <c r="D337" s="43">
        <v>1690</v>
      </c>
      <c r="E337" s="43">
        <v>1200</v>
      </c>
      <c r="F337" s="43">
        <v>50</v>
      </c>
      <c r="G337" s="2"/>
      <c r="H337" s="17">
        <f t="shared" ref="H337:H347" si="21">SUM(B337:G337)</f>
        <v>3015</v>
      </c>
    </row>
    <row r="338" spans="1:8" x14ac:dyDescent="0.45">
      <c r="A338" s="38" t="s">
        <v>80</v>
      </c>
      <c r="B338" s="44"/>
      <c r="C338" s="45">
        <v>2</v>
      </c>
      <c r="D338" s="43">
        <v>910</v>
      </c>
      <c r="E338" s="43">
        <v>750</v>
      </c>
      <c r="F338" s="42">
        <v>150</v>
      </c>
      <c r="G338" s="2"/>
      <c r="H338" s="17">
        <f t="shared" si="21"/>
        <v>1812</v>
      </c>
    </row>
    <row r="339" spans="1:8" x14ac:dyDescent="0.45">
      <c r="A339" s="38" t="s">
        <v>14</v>
      </c>
      <c r="B339" s="44"/>
      <c r="C339" s="43">
        <v>3</v>
      </c>
      <c r="D339" s="43">
        <v>10</v>
      </c>
      <c r="E339" s="43">
        <v>70</v>
      </c>
      <c r="F339" s="43">
        <v>50</v>
      </c>
      <c r="G339" s="2"/>
      <c r="H339" s="17">
        <f t="shared" si="21"/>
        <v>133</v>
      </c>
    </row>
    <row r="340" spans="1:8" x14ac:dyDescent="0.45">
      <c r="A340" s="38" t="s">
        <v>15</v>
      </c>
      <c r="B340" s="44"/>
      <c r="C340" s="42">
        <v>3</v>
      </c>
      <c r="D340" s="42">
        <v>21</v>
      </c>
      <c r="E340" s="43">
        <v>32</v>
      </c>
      <c r="F340" s="42">
        <v>2</v>
      </c>
      <c r="G340" s="2"/>
      <c r="H340" s="17">
        <f t="shared" si="21"/>
        <v>58</v>
      </c>
    </row>
    <row r="341" spans="1:8" x14ac:dyDescent="0.45">
      <c r="A341" s="38" t="s">
        <v>2</v>
      </c>
      <c r="B341" s="44"/>
      <c r="C341" s="42">
        <v>50</v>
      </c>
      <c r="D341" s="42">
        <v>30</v>
      </c>
      <c r="E341" s="43">
        <v>6</v>
      </c>
      <c r="F341" s="44"/>
      <c r="G341" s="2"/>
      <c r="H341" s="17">
        <f t="shared" si="21"/>
        <v>86</v>
      </c>
    </row>
    <row r="342" spans="1:8" x14ac:dyDescent="0.45">
      <c r="A342" s="38" t="s">
        <v>45</v>
      </c>
      <c r="B342" s="44"/>
      <c r="C342" s="45">
        <v>5</v>
      </c>
      <c r="D342" s="45"/>
      <c r="E342" s="45"/>
      <c r="F342" s="45"/>
      <c r="G342" s="2"/>
      <c r="H342" s="17">
        <f t="shared" si="21"/>
        <v>5</v>
      </c>
    </row>
    <row r="343" spans="1:8" x14ac:dyDescent="0.45">
      <c r="A343" s="38" t="s">
        <v>44</v>
      </c>
      <c r="B343" s="44"/>
      <c r="C343" s="45"/>
      <c r="D343" s="45"/>
      <c r="E343" s="43">
        <v>3</v>
      </c>
      <c r="F343" s="45"/>
      <c r="G343" s="2"/>
      <c r="H343" s="17">
        <f t="shared" si="21"/>
        <v>3</v>
      </c>
    </row>
    <row r="344" spans="1:8" x14ac:dyDescent="0.45">
      <c r="A344" s="38" t="s">
        <v>1</v>
      </c>
      <c r="B344" s="44"/>
      <c r="C344" s="45"/>
      <c r="D344" s="45"/>
      <c r="E344" s="43">
        <v>1</v>
      </c>
      <c r="F344" s="45"/>
      <c r="G344" s="2"/>
      <c r="H344" s="17">
        <f t="shared" si="21"/>
        <v>1</v>
      </c>
    </row>
    <row r="345" spans="1:8" x14ac:dyDescent="0.45">
      <c r="A345" s="38" t="s">
        <v>7</v>
      </c>
      <c r="B345" s="44"/>
      <c r="C345" s="44"/>
      <c r="D345" s="44"/>
      <c r="E345" s="44"/>
      <c r="F345" s="44"/>
      <c r="G345" s="2"/>
      <c r="H345" s="17">
        <f t="shared" si="21"/>
        <v>0</v>
      </c>
    </row>
    <row r="346" spans="1:8" x14ac:dyDescent="0.45">
      <c r="A346" s="38" t="s">
        <v>81</v>
      </c>
      <c r="B346" s="44"/>
      <c r="C346" s="44"/>
      <c r="D346" s="44"/>
      <c r="E346" s="44"/>
      <c r="F346" s="44"/>
      <c r="G346" s="2"/>
      <c r="H346" s="17">
        <f t="shared" si="21"/>
        <v>0</v>
      </c>
    </row>
    <row r="347" spans="1:8" x14ac:dyDescent="0.45">
      <c r="A347" s="2" t="s">
        <v>24</v>
      </c>
      <c r="B347" s="44">
        <f t="shared" ref="B347:G347" si="22">SUM(B336:B346)</f>
        <v>0</v>
      </c>
      <c r="C347" s="44">
        <f t="shared" si="22"/>
        <v>328</v>
      </c>
      <c r="D347" s="44">
        <f t="shared" si="22"/>
        <v>3611</v>
      </c>
      <c r="E347" s="44">
        <f t="shared" si="22"/>
        <v>2432</v>
      </c>
      <c r="F347" s="44">
        <f t="shared" si="22"/>
        <v>752</v>
      </c>
      <c r="G347" s="44">
        <f t="shared" si="22"/>
        <v>0</v>
      </c>
      <c r="H347" s="17">
        <f t="shared" si="21"/>
        <v>7123</v>
      </c>
    </row>
    <row r="348" spans="1:8" x14ac:dyDescent="0.45">
      <c r="A348" s="38"/>
      <c r="B348" s="44"/>
      <c r="C348" s="45"/>
      <c r="D348" s="45"/>
      <c r="E348" s="45"/>
      <c r="F348" s="45"/>
      <c r="G348" s="2"/>
      <c r="H348" s="2"/>
    </row>
    <row r="349" spans="1:8" x14ac:dyDescent="0.45">
      <c r="A349" s="70">
        <v>1991</v>
      </c>
      <c r="B349" s="44"/>
      <c r="C349" s="44"/>
      <c r="D349" s="44"/>
      <c r="E349" s="44"/>
      <c r="F349" s="44"/>
      <c r="G349" s="2"/>
      <c r="H349" s="2"/>
    </row>
    <row r="350" spans="1:8" x14ac:dyDescent="0.45">
      <c r="A350" s="71" t="s">
        <v>88</v>
      </c>
      <c r="B350" s="2"/>
      <c r="C350" s="2"/>
      <c r="D350" s="2"/>
      <c r="E350" s="2"/>
      <c r="F350" s="2"/>
      <c r="G350" s="2"/>
      <c r="H350" s="2"/>
    </row>
    <row r="351" spans="1:8" x14ac:dyDescent="0.45">
      <c r="A351" s="38"/>
      <c r="B351" s="39">
        <v>33354</v>
      </c>
      <c r="C351" s="40">
        <v>33359</v>
      </c>
      <c r="D351" s="40">
        <v>33364</v>
      </c>
      <c r="E351" s="40">
        <v>33369</v>
      </c>
      <c r="F351" s="40">
        <v>33374</v>
      </c>
      <c r="G351" s="39">
        <v>33379</v>
      </c>
      <c r="H351" s="69" t="s">
        <v>24</v>
      </c>
    </row>
    <row r="352" spans="1:8" x14ac:dyDescent="0.45">
      <c r="A352" s="38" t="s">
        <v>11</v>
      </c>
      <c r="B352" s="45"/>
      <c r="C352" s="42">
        <v>10</v>
      </c>
      <c r="D352" s="43">
        <v>13450</v>
      </c>
      <c r="E352" s="43">
        <v>2000</v>
      </c>
      <c r="F352" s="43">
        <v>5050</v>
      </c>
      <c r="G352" s="2"/>
      <c r="H352" s="17">
        <f t="shared" ref="H352:H371" si="23">SUM(B352:G352)</f>
        <v>20510</v>
      </c>
    </row>
    <row r="353" spans="1:8" x14ac:dyDescent="0.45">
      <c r="A353" s="38" t="s">
        <v>17</v>
      </c>
      <c r="B353" s="46"/>
      <c r="C353" s="44"/>
      <c r="D353" s="42">
        <v>100</v>
      </c>
      <c r="E353" s="44"/>
      <c r="F353" s="44"/>
      <c r="G353" s="2"/>
      <c r="H353" s="17">
        <f t="shared" si="23"/>
        <v>100</v>
      </c>
    </row>
    <row r="354" spans="1:8" x14ac:dyDescent="0.45">
      <c r="A354" s="38" t="s">
        <v>14</v>
      </c>
      <c r="B354" s="43">
        <v>2</v>
      </c>
      <c r="C354" s="43">
        <v>12</v>
      </c>
      <c r="D354" s="43">
        <v>105</v>
      </c>
      <c r="E354" s="43">
        <v>400</v>
      </c>
      <c r="F354" s="42">
        <v>700</v>
      </c>
      <c r="G354" s="2"/>
      <c r="H354" s="17">
        <f t="shared" si="23"/>
        <v>1219</v>
      </c>
    </row>
    <row r="355" spans="1:8" x14ac:dyDescent="0.45">
      <c r="A355" s="38" t="s">
        <v>79</v>
      </c>
      <c r="B355" s="45"/>
      <c r="C355" s="45"/>
      <c r="D355" s="43">
        <v>2</v>
      </c>
      <c r="E355" s="43">
        <v>600</v>
      </c>
      <c r="F355" s="45"/>
      <c r="G355" s="2"/>
      <c r="H355" s="17">
        <f t="shared" si="23"/>
        <v>602</v>
      </c>
    </row>
    <row r="356" spans="1:8" x14ac:dyDescent="0.45">
      <c r="A356" s="38" t="s">
        <v>80</v>
      </c>
      <c r="B356" s="46"/>
      <c r="C356" s="42">
        <v>1</v>
      </c>
      <c r="D356" s="42">
        <v>165</v>
      </c>
      <c r="E356" s="43">
        <v>600</v>
      </c>
      <c r="F356" s="44"/>
      <c r="G356" s="2"/>
      <c r="H356" s="17">
        <f t="shared" si="23"/>
        <v>766</v>
      </c>
    </row>
    <row r="357" spans="1:8" x14ac:dyDescent="0.45">
      <c r="A357" s="38" t="s">
        <v>15</v>
      </c>
      <c r="B357" s="46"/>
      <c r="C357" s="45"/>
      <c r="D357" s="43">
        <v>91</v>
      </c>
      <c r="E357" s="43">
        <v>40</v>
      </c>
      <c r="F357" s="43">
        <v>52</v>
      </c>
      <c r="G357" s="2"/>
      <c r="H357" s="17">
        <f t="shared" si="23"/>
        <v>183</v>
      </c>
    </row>
    <row r="358" spans="1:8" x14ac:dyDescent="0.45">
      <c r="A358" s="38" t="s">
        <v>2</v>
      </c>
      <c r="B358" s="42">
        <v>4</v>
      </c>
      <c r="C358" s="42">
        <v>1</v>
      </c>
      <c r="D358" s="42">
        <v>40</v>
      </c>
      <c r="E358" s="43">
        <v>2</v>
      </c>
      <c r="F358" s="42">
        <v>5</v>
      </c>
      <c r="G358" s="2"/>
      <c r="H358" s="17">
        <f t="shared" si="23"/>
        <v>52</v>
      </c>
    </row>
    <row r="359" spans="1:8" x14ac:dyDescent="0.45">
      <c r="A359" s="38" t="s">
        <v>45</v>
      </c>
      <c r="B359" s="46"/>
      <c r="C359" s="44"/>
      <c r="D359" s="43">
        <v>2</v>
      </c>
      <c r="E359" s="42">
        <v>20</v>
      </c>
      <c r="F359" s="42">
        <v>4</v>
      </c>
      <c r="G359" s="2"/>
      <c r="H359" s="17">
        <f t="shared" si="23"/>
        <v>26</v>
      </c>
    </row>
    <row r="360" spans="1:8" x14ac:dyDescent="0.45">
      <c r="A360" s="38" t="s">
        <v>1</v>
      </c>
      <c r="B360" s="46"/>
      <c r="C360" s="44"/>
      <c r="D360" s="44"/>
      <c r="E360" s="42">
        <v>5</v>
      </c>
      <c r="F360" s="42">
        <v>4</v>
      </c>
      <c r="G360" s="2"/>
      <c r="H360" s="17">
        <f t="shared" si="23"/>
        <v>9</v>
      </c>
    </row>
    <row r="361" spans="1:8" x14ac:dyDescent="0.45">
      <c r="A361" s="38" t="s">
        <v>12</v>
      </c>
      <c r="B361" s="45"/>
      <c r="C361" s="44"/>
      <c r="D361" s="45"/>
      <c r="E361" s="42">
        <v>2</v>
      </c>
      <c r="F361" s="44"/>
      <c r="G361" s="2"/>
      <c r="H361" s="17">
        <f t="shared" si="23"/>
        <v>2</v>
      </c>
    </row>
    <row r="362" spans="1:8" x14ac:dyDescent="0.45">
      <c r="A362" s="38" t="s">
        <v>7</v>
      </c>
      <c r="B362" s="45"/>
      <c r="C362" s="44"/>
      <c r="D362" s="42">
        <v>1</v>
      </c>
      <c r="E362" s="44"/>
      <c r="F362" s="44"/>
      <c r="G362" s="2"/>
      <c r="H362" s="17">
        <f t="shared" si="23"/>
        <v>1</v>
      </c>
    </row>
    <row r="363" spans="1:8" x14ac:dyDescent="0.45">
      <c r="A363" s="38" t="s">
        <v>44</v>
      </c>
      <c r="B363" s="46"/>
      <c r="C363" s="44"/>
      <c r="D363" s="44"/>
      <c r="E363" s="45"/>
      <c r="F363" s="45"/>
      <c r="G363" s="2"/>
      <c r="H363" s="17">
        <f t="shared" si="23"/>
        <v>0</v>
      </c>
    </row>
    <row r="364" spans="1:8" x14ac:dyDescent="0.45">
      <c r="A364" s="38" t="s">
        <v>8</v>
      </c>
      <c r="B364" s="43"/>
      <c r="C364" s="44"/>
      <c r="D364" s="45"/>
      <c r="E364" s="43">
        <v>5</v>
      </c>
      <c r="F364" s="45"/>
      <c r="G364" s="2"/>
      <c r="H364" s="17">
        <f t="shared" si="23"/>
        <v>5</v>
      </c>
    </row>
    <row r="365" spans="1:8" x14ac:dyDescent="0.45">
      <c r="A365" s="38" t="s">
        <v>53</v>
      </c>
      <c r="B365" s="47"/>
      <c r="C365" s="44"/>
      <c r="D365" s="45"/>
      <c r="E365" s="45"/>
      <c r="F365" s="44"/>
      <c r="G365" s="2"/>
      <c r="H365" s="17">
        <f t="shared" si="23"/>
        <v>0</v>
      </c>
    </row>
    <row r="366" spans="1:8" x14ac:dyDescent="0.45">
      <c r="A366" s="38" t="s">
        <v>83</v>
      </c>
      <c r="B366" s="47"/>
      <c r="C366" s="45"/>
      <c r="D366" s="45"/>
      <c r="E366" s="43">
        <v>3</v>
      </c>
      <c r="F366" s="45">
        <v>1</v>
      </c>
      <c r="G366" s="2"/>
      <c r="H366" s="17">
        <f t="shared" si="23"/>
        <v>4</v>
      </c>
    </row>
    <row r="367" spans="1:8" x14ac:dyDescent="0.45">
      <c r="A367" s="38" t="s">
        <v>50</v>
      </c>
      <c r="B367" s="47"/>
      <c r="C367" s="44"/>
      <c r="D367" s="45"/>
      <c r="E367" s="44"/>
      <c r="F367" s="44">
        <v>1</v>
      </c>
      <c r="G367" s="2"/>
      <c r="H367" s="17">
        <f t="shared" si="23"/>
        <v>1</v>
      </c>
    </row>
    <row r="368" spans="1:8" x14ac:dyDescent="0.45">
      <c r="A368" s="38" t="s">
        <v>42</v>
      </c>
      <c r="B368" s="46"/>
      <c r="C368" s="44"/>
      <c r="D368" s="42">
        <v>1</v>
      </c>
      <c r="E368" s="44"/>
      <c r="F368" s="44"/>
      <c r="G368" s="2"/>
      <c r="H368" s="17">
        <f t="shared" si="23"/>
        <v>1</v>
      </c>
    </row>
    <row r="369" spans="1:8" x14ac:dyDescent="0.45">
      <c r="A369" s="38" t="s">
        <v>4</v>
      </c>
      <c r="B369" s="43"/>
      <c r="C369" s="44"/>
      <c r="D369" s="44"/>
      <c r="E369" s="44"/>
      <c r="F369" s="45"/>
      <c r="G369" s="2"/>
      <c r="H369" s="17">
        <f t="shared" si="23"/>
        <v>0</v>
      </c>
    </row>
    <row r="370" spans="1:8" x14ac:dyDescent="0.45">
      <c r="A370" s="38" t="s">
        <v>13</v>
      </c>
      <c r="B370" s="43"/>
      <c r="C370" s="44"/>
      <c r="D370" s="44"/>
      <c r="E370" s="45"/>
      <c r="F370" s="42">
        <v>1</v>
      </c>
      <c r="G370" s="2"/>
      <c r="H370" s="17">
        <f t="shared" si="23"/>
        <v>1</v>
      </c>
    </row>
    <row r="371" spans="1:8" x14ac:dyDescent="0.45">
      <c r="A371" s="2" t="s">
        <v>24</v>
      </c>
      <c r="B371" s="17">
        <f t="shared" ref="B371:G371" si="24">SUM(B352:B370)</f>
        <v>6</v>
      </c>
      <c r="C371" s="17">
        <f t="shared" si="24"/>
        <v>24</v>
      </c>
      <c r="D371" s="17">
        <f t="shared" si="24"/>
        <v>13957</v>
      </c>
      <c r="E371" s="17">
        <f t="shared" si="24"/>
        <v>3677</v>
      </c>
      <c r="F371" s="17">
        <f t="shared" si="24"/>
        <v>5818</v>
      </c>
      <c r="G371" s="17">
        <f t="shared" si="24"/>
        <v>0</v>
      </c>
      <c r="H371" s="17">
        <f t="shared" si="23"/>
        <v>23482</v>
      </c>
    </row>
    <row r="372" spans="1:8" x14ac:dyDescent="0.45">
      <c r="A372" s="2"/>
      <c r="B372" s="2"/>
      <c r="C372" s="2"/>
      <c r="D372" s="2"/>
      <c r="E372" s="2"/>
      <c r="F372" s="2"/>
      <c r="G372" s="2"/>
      <c r="H372" s="2"/>
    </row>
    <row r="373" spans="1:8" x14ac:dyDescent="0.45">
      <c r="A373" s="70">
        <v>1992</v>
      </c>
      <c r="B373" s="2"/>
      <c r="C373" s="2"/>
      <c r="D373" s="2"/>
      <c r="E373" s="2"/>
      <c r="F373" s="2"/>
      <c r="G373" s="2"/>
      <c r="H373" s="2"/>
    </row>
    <row r="374" spans="1:8" x14ac:dyDescent="0.45">
      <c r="A374" s="71" t="s">
        <v>86</v>
      </c>
      <c r="B374" s="2"/>
      <c r="C374" s="2"/>
      <c r="D374" s="2"/>
      <c r="E374" s="2"/>
      <c r="F374" s="2"/>
      <c r="G374" s="2"/>
      <c r="H374" s="2"/>
    </row>
    <row r="375" spans="1:8" x14ac:dyDescent="0.45">
      <c r="A375" s="2"/>
      <c r="B375" s="39">
        <v>33720</v>
      </c>
      <c r="C375" s="40">
        <v>33725</v>
      </c>
      <c r="D375" s="40">
        <v>33730</v>
      </c>
      <c r="E375" s="40">
        <v>33735</v>
      </c>
      <c r="F375" s="40">
        <v>33740</v>
      </c>
      <c r="G375" s="39">
        <v>33745</v>
      </c>
      <c r="H375" s="69" t="s">
        <v>24</v>
      </c>
    </row>
    <row r="376" spans="1:8" x14ac:dyDescent="0.45">
      <c r="A376" s="38" t="s">
        <v>11</v>
      </c>
      <c r="B376" s="42">
        <v>75</v>
      </c>
      <c r="C376" s="42">
        <v>700</v>
      </c>
      <c r="D376" s="43">
        <v>11000</v>
      </c>
      <c r="E376" s="43">
        <v>5400</v>
      </c>
      <c r="F376" s="43">
        <v>3550</v>
      </c>
      <c r="G376" s="2"/>
      <c r="H376" s="17">
        <f t="shared" ref="H376:H397" si="25">SUM(B376:G376)</f>
        <v>20725</v>
      </c>
    </row>
    <row r="377" spans="1:8" x14ac:dyDescent="0.45">
      <c r="A377" s="38" t="s">
        <v>79</v>
      </c>
      <c r="B377" s="44"/>
      <c r="C377" s="42">
        <v>780</v>
      </c>
      <c r="D377" s="42">
        <v>3500</v>
      </c>
      <c r="E377" s="43">
        <v>2500</v>
      </c>
      <c r="F377" s="42">
        <v>3200</v>
      </c>
      <c r="G377" s="59">
        <v>30</v>
      </c>
      <c r="H377" s="17">
        <f t="shared" si="25"/>
        <v>10010</v>
      </c>
    </row>
    <row r="378" spans="1:8" x14ac:dyDescent="0.45">
      <c r="A378" s="38" t="s">
        <v>14</v>
      </c>
      <c r="B378" s="42">
        <v>4</v>
      </c>
      <c r="C378" s="43">
        <v>350</v>
      </c>
      <c r="D378" s="43">
        <v>2500</v>
      </c>
      <c r="E378" s="43">
        <v>162</v>
      </c>
      <c r="F378" s="43">
        <v>255</v>
      </c>
      <c r="G378" s="2"/>
      <c r="H378" s="17">
        <f t="shared" si="25"/>
        <v>3271</v>
      </c>
    </row>
    <row r="379" spans="1:8" x14ac:dyDescent="0.45">
      <c r="A379" s="38" t="s">
        <v>15</v>
      </c>
      <c r="B379" s="43">
        <v>150</v>
      </c>
      <c r="C379" s="43">
        <v>220</v>
      </c>
      <c r="D379" s="43">
        <v>850</v>
      </c>
      <c r="E379" s="43">
        <v>54</v>
      </c>
      <c r="F379" s="43">
        <v>80</v>
      </c>
      <c r="G379" s="2"/>
      <c r="H379" s="17">
        <f t="shared" si="25"/>
        <v>1354</v>
      </c>
    </row>
    <row r="380" spans="1:8" x14ac:dyDescent="0.45">
      <c r="A380" s="38" t="s">
        <v>80</v>
      </c>
      <c r="B380" s="45"/>
      <c r="C380" s="43">
        <v>30</v>
      </c>
      <c r="D380" s="43">
        <v>575</v>
      </c>
      <c r="E380" s="43">
        <v>500</v>
      </c>
      <c r="F380" s="43">
        <v>625</v>
      </c>
      <c r="G380" s="2"/>
      <c r="H380" s="17">
        <f t="shared" si="25"/>
        <v>1730</v>
      </c>
    </row>
    <row r="381" spans="1:8" x14ac:dyDescent="0.45">
      <c r="A381" s="38" t="s">
        <v>2</v>
      </c>
      <c r="B381" s="43">
        <v>18</v>
      </c>
      <c r="C381" s="43">
        <v>22</v>
      </c>
      <c r="D381" s="43">
        <v>27</v>
      </c>
      <c r="E381" s="42">
        <v>108</v>
      </c>
      <c r="F381" s="42">
        <v>69</v>
      </c>
      <c r="G381" s="2"/>
      <c r="H381" s="17">
        <f t="shared" si="25"/>
        <v>244</v>
      </c>
    </row>
    <row r="382" spans="1:8" x14ac:dyDescent="0.45">
      <c r="A382" s="38" t="s">
        <v>1</v>
      </c>
      <c r="B382" s="44"/>
      <c r="C382" s="43">
        <v>4</v>
      </c>
      <c r="D382" s="44"/>
      <c r="E382" s="43">
        <v>10</v>
      </c>
      <c r="F382" s="43">
        <v>13</v>
      </c>
      <c r="G382" s="2"/>
      <c r="H382" s="17">
        <f t="shared" si="25"/>
        <v>27</v>
      </c>
    </row>
    <row r="383" spans="1:8" x14ac:dyDescent="0.45">
      <c r="A383" s="38" t="s">
        <v>12</v>
      </c>
      <c r="B383" s="44"/>
      <c r="C383" s="42">
        <v>1</v>
      </c>
      <c r="D383" s="44"/>
      <c r="E383" s="43">
        <v>10</v>
      </c>
      <c r="F383" s="42">
        <v>10</v>
      </c>
      <c r="G383" s="2"/>
      <c r="H383" s="17">
        <f t="shared" si="25"/>
        <v>21</v>
      </c>
    </row>
    <row r="384" spans="1:8" x14ac:dyDescent="0.45">
      <c r="A384" s="38" t="s">
        <v>7</v>
      </c>
      <c r="B384" s="44"/>
      <c r="C384" s="42">
        <v>1</v>
      </c>
      <c r="D384" s="42">
        <v>2</v>
      </c>
      <c r="E384" s="42">
        <v>2</v>
      </c>
      <c r="F384" s="43">
        <v>4</v>
      </c>
      <c r="G384" s="2"/>
      <c r="H384" s="17">
        <f t="shared" si="25"/>
        <v>9</v>
      </c>
    </row>
    <row r="385" spans="1:8" x14ac:dyDescent="0.45">
      <c r="A385" s="38" t="s">
        <v>45</v>
      </c>
      <c r="B385" s="44"/>
      <c r="C385" s="44"/>
      <c r="D385" s="42">
        <v>1</v>
      </c>
      <c r="E385" s="42">
        <v>5</v>
      </c>
      <c r="F385" s="42">
        <v>3</v>
      </c>
      <c r="G385" s="2"/>
      <c r="H385" s="17">
        <f t="shared" si="25"/>
        <v>9</v>
      </c>
    </row>
    <row r="386" spans="1:8" x14ac:dyDescent="0.45">
      <c r="A386" s="38" t="s">
        <v>3</v>
      </c>
      <c r="B386" s="42">
        <v>3</v>
      </c>
      <c r="C386" s="43">
        <v>11</v>
      </c>
      <c r="D386" s="42">
        <v>3</v>
      </c>
      <c r="E386" s="45"/>
      <c r="F386" s="45"/>
      <c r="G386" s="2"/>
      <c r="H386" s="17">
        <f t="shared" si="25"/>
        <v>17</v>
      </c>
    </row>
    <row r="387" spans="1:8" x14ac:dyDescent="0.45">
      <c r="A387" s="38" t="s">
        <v>44</v>
      </c>
      <c r="B387" s="45"/>
      <c r="C387" s="45"/>
      <c r="D387" s="58"/>
      <c r="E387" s="58"/>
      <c r="F387" s="52">
        <v>7</v>
      </c>
      <c r="G387" s="2"/>
      <c r="H387" s="17">
        <f t="shared" si="25"/>
        <v>7</v>
      </c>
    </row>
    <row r="388" spans="1:8" x14ac:dyDescent="0.45">
      <c r="A388" s="38" t="s">
        <v>40</v>
      </c>
      <c r="B388" s="44"/>
      <c r="C388" s="45"/>
      <c r="D388" s="45"/>
      <c r="E388" s="45"/>
      <c r="F388" s="43">
        <v>6</v>
      </c>
      <c r="G388" s="2">
        <v>1</v>
      </c>
      <c r="H388" s="17">
        <f t="shared" si="25"/>
        <v>7</v>
      </c>
    </row>
    <row r="389" spans="1:8" x14ac:dyDescent="0.45">
      <c r="A389" s="38" t="s">
        <v>8</v>
      </c>
      <c r="B389" s="44"/>
      <c r="C389" s="44"/>
      <c r="D389" s="44"/>
      <c r="E389" s="43">
        <v>1</v>
      </c>
      <c r="F389" s="43">
        <v>1</v>
      </c>
      <c r="G389" s="2"/>
      <c r="H389" s="17">
        <f t="shared" si="25"/>
        <v>2</v>
      </c>
    </row>
    <row r="390" spans="1:8" x14ac:dyDescent="0.45">
      <c r="A390" s="38" t="s">
        <v>50</v>
      </c>
      <c r="B390" s="45"/>
      <c r="C390" s="45"/>
      <c r="D390" s="45"/>
      <c r="E390" s="43">
        <v>2</v>
      </c>
      <c r="F390" s="45"/>
      <c r="G390" s="2"/>
      <c r="H390" s="17">
        <f t="shared" si="25"/>
        <v>2</v>
      </c>
    </row>
    <row r="391" spans="1:8" x14ac:dyDescent="0.45">
      <c r="A391" s="38" t="s">
        <v>42</v>
      </c>
      <c r="B391" s="44"/>
      <c r="C391" s="45"/>
      <c r="D391" s="45"/>
      <c r="E391" s="43">
        <v>1</v>
      </c>
      <c r="F391" s="45"/>
      <c r="G391" s="2"/>
      <c r="H391" s="17">
        <f t="shared" si="25"/>
        <v>1</v>
      </c>
    </row>
    <row r="392" spans="1:8" x14ac:dyDescent="0.45">
      <c r="A392" s="38" t="s">
        <v>54</v>
      </c>
      <c r="B392" s="44"/>
      <c r="C392" s="44"/>
      <c r="D392" s="44"/>
      <c r="E392" s="44"/>
      <c r="F392" s="44"/>
      <c r="G392" s="2"/>
      <c r="H392" s="17">
        <f t="shared" si="25"/>
        <v>0</v>
      </c>
    </row>
    <row r="393" spans="1:8" x14ac:dyDescent="0.45">
      <c r="A393" s="38" t="s">
        <v>81</v>
      </c>
      <c r="B393" s="44"/>
      <c r="C393" s="44"/>
      <c r="D393" s="44"/>
      <c r="E393" s="44"/>
      <c r="F393" s="44"/>
      <c r="G393" s="2"/>
      <c r="H393" s="17">
        <f t="shared" si="25"/>
        <v>0</v>
      </c>
    </row>
    <row r="394" spans="1:8" x14ac:dyDescent="0.45">
      <c r="A394" s="38" t="s">
        <v>52</v>
      </c>
      <c r="B394" s="44"/>
      <c r="C394" s="44"/>
      <c r="D394" s="44"/>
      <c r="E394" s="44"/>
      <c r="F394" s="44"/>
      <c r="G394" s="2"/>
      <c r="H394" s="17">
        <f t="shared" si="25"/>
        <v>0</v>
      </c>
    </row>
    <row r="395" spans="1:8" x14ac:dyDescent="0.45">
      <c r="A395" s="38" t="s">
        <v>51</v>
      </c>
      <c r="B395" s="44"/>
      <c r="C395" s="44"/>
      <c r="D395" s="45"/>
      <c r="E395" s="44"/>
      <c r="F395" s="44"/>
      <c r="G395" s="2"/>
      <c r="H395" s="17">
        <f t="shared" si="25"/>
        <v>0</v>
      </c>
    </row>
    <row r="396" spans="1:8" x14ac:dyDescent="0.45">
      <c r="A396" s="38" t="s">
        <v>13</v>
      </c>
      <c r="B396" s="44"/>
      <c r="C396" s="44"/>
      <c r="D396" s="59">
        <v>1</v>
      </c>
      <c r="E396" s="60"/>
      <c r="F396" s="45"/>
      <c r="G396" s="2"/>
      <c r="H396" s="17">
        <f t="shared" si="25"/>
        <v>1</v>
      </c>
    </row>
    <row r="397" spans="1:8" x14ac:dyDescent="0.45">
      <c r="A397" s="2" t="s">
        <v>24</v>
      </c>
      <c r="B397" s="17">
        <f t="shared" ref="B397:G397" si="26">SUM(B376:B396)</f>
        <v>250</v>
      </c>
      <c r="C397" s="17">
        <f t="shared" si="26"/>
        <v>2119</v>
      </c>
      <c r="D397" s="17">
        <f t="shared" si="26"/>
        <v>18459</v>
      </c>
      <c r="E397" s="17">
        <f t="shared" si="26"/>
        <v>8755</v>
      </c>
      <c r="F397" s="17">
        <f t="shared" si="26"/>
        <v>7823</v>
      </c>
      <c r="G397" s="17">
        <f t="shared" si="26"/>
        <v>31</v>
      </c>
      <c r="H397" s="17">
        <f t="shared" si="25"/>
        <v>37437</v>
      </c>
    </row>
    <row r="398" spans="1:8" x14ac:dyDescent="0.45">
      <c r="A398" s="2"/>
      <c r="B398" s="2"/>
      <c r="C398" s="2"/>
      <c r="D398" s="2"/>
      <c r="E398" s="2"/>
      <c r="F398" s="2"/>
      <c r="G398" s="2"/>
      <c r="H398" s="2"/>
    </row>
    <row r="399" spans="1:8" x14ac:dyDescent="0.45">
      <c r="A399" s="70">
        <v>1993</v>
      </c>
      <c r="B399" s="2"/>
      <c r="C399" s="2"/>
      <c r="D399" s="2"/>
      <c r="E399" s="2"/>
      <c r="F399" s="2"/>
      <c r="G399" s="2"/>
      <c r="H399" s="2"/>
    </row>
    <row r="400" spans="1:8" x14ac:dyDescent="0.45">
      <c r="A400" s="71" t="s">
        <v>88</v>
      </c>
      <c r="B400" s="2"/>
      <c r="C400" s="2"/>
      <c r="D400" s="2"/>
      <c r="E400" s="2"/>
      <c r="F400" s="2"/>
      <c r="G400" s="2"/>
      <c r="H400" s="2"/>
    </row>
    <row r="401" spans="1:8" x14ac:dyDescent="0.45">
      <c r="A401" s="2"/>
      <c r="B401" s="39">
        <v>34085</v>
      </c>
      <c r="C401" s="40">
        <v>34090</v>
      </c>
      <c r="D401" s="40">
        <v>34095</v>
      </c>
      <c r="E401" s="40">
        <v>34100</v>
      </c>
      <c r="F401" s="40">
        <v>34105</v>
      </c>
      <c r="G401" s="39">
        <v>34110</v>
      </c>
      <c r="H401" s="69" t="s">
        <v>24</v>
      </c>
    </row>
    <row r="402" spans="1:8" x14ac:dyDescent="0.45">
      <c r="A402" s="38" t="s">
        <v>11</v>
      </c>
      <c r="B402" s="44"/>
      <c r="C402" s="44"/>
      <c r="D402" s="43">
        <v>5500</v>
      </c>
      <c r="E402" s="43">
        <v>1000</v>
      </c>
      <c r="F402" s="42">
        <v>700</v>
      </c>
      <c r="G402" s="2"/>
      <c r="H402" s="17">
        <f t="shared" ref="H402:H423" si="27">SUM(B402:G402)</f>
        <v>7200</v>
      </c>
    </row>
    <row r="403" spans="1:8" x14ac:dyDescent="0.45">
      <c r="A403" s="38" t="s">
        <v>79</v>
      </c>
      <c r="B403" s="44"/>
      <c r="C403" s="44"/>
      <c r="D403" s="43">
        <v>600</v>
      </c>
      <c r="E403" s="43">
        <v>600</v>
      </c>
      <c r="F403" s="44"/>
      <c r="G403" s="2"/>
      <c r="H403" s="17">
        <f t="shared" si="27"/>
        <v>1200</v>
      </c>
    </row>
    <row r="404" spans="1:8" x14ac:dyDescent="0.45">
      <c r="A404" s="38" t="s">
        <v>14</v>
      </c>
      <c r="B404" s="44"/>
      <c r="C404" s="44"/>
      <c r="D404" s="43">
        <v>550</v>
      </c>
      <c r="E404" s="43">
        <v>10</v>
      </c>
      <c r="F404" s="43">
        <v>2</v>
      </c>
      <c r="G404" s="2"/>
      <c r="H404" s="17">
        <f t="shared" si="27"/>
        <v>562</v>
      </c>
    </row>
    <row r="405" spans="1:8" x14ac:dyDescent="0.45">
      <c r="A405" s="38" t="s">
        <v>80</v>
      </c>
      <c r="B405" s="44"/>
      <c r="C405" s="44"/>
      <c r="D405" s="43">
        <v>400</v>
      </c>
      <c r="E405" s="42">
        <v>100</v>
      </c>
      <c r="F405" s="44"/>
      <c r="G405" s="2"/>
      <c r="H405" s="17">
        <f t="shared" si="27"/>
        <v>500</v>
      </c>
    </row>
    <row r="406" spans="1:8" x14ac:dyDescent="0.45">
      <c r="A406" s="38" t="s">
        <v>15</v>
      </c>
      <c r="B406" s="44"/>
      <c r="C406" s="44"/>
      <c r="D406" s="43">
        <v>250</v>
      </c>
      <c r="E406" s="43">
        <v>50</v>
      </c>
      <c r="F406" s="43">
        <v>25</v>
      </c>
      <c r="G406" s="2"/>
      <c r="H406" s="17">
        <f t="shared" si="27"/>
        <v>325</v>
      </c>
    </row>
    <row r="407" spans="1:8" x14ac:dyDescent="0.45">
      <c r="A407" s="38" t="s">
        <v>2</v>
      </c>
      <c r="B407" s="44"/>
      <c r="C407" s="44"/>
      <c r="D407" s="43">
        <v>50</v>
      </c>
      <c r="E407" s="43">
        <v>1</v>
      </c>
      <c r="F407" s="45"/>
      <c r="G407" s="2"/>
      <c r="H407" s="17">
        <f t="shared" si="27"/>
        <v>51</v>
      </c>
    </row>
    <row r="408" spans="1:8" x14ac:dyDescent="0.45">
      <c r="A408" s="38" t="s">
        <v>1</v>
      </c>
      <c r="B408" s="44"/>
      <c r="C408" s="44"/>
      <c r="D408" s="43">
        <v>10</v>
      </c>
      <c r="E408" s="43">
        <v>6</v>
      </c>
      <c r="F408" s="42">
        <v>6</v>
      </c>
      <c r="G408" s="2"/>
      <c r="H408" s="17">
        <f t="shared" si="27"/>
        <v>22</v>
      </c>
    </row>
    <row r="409" spans="1:8" x14ac:dyDescent="0.45">
      <c r="A409" s="38" t="s">
        <v>12</v>
      </c>
      <c r="B409" s="44"/>
      <c r="C409" s="44"/>
      <c r="D409" s="43">
        <v>2</v>
      </c>
      <c r="E409" s="45"/>
      <c r="F409" s="45"/>
      <c r="G409" s="2"/>
      <c r="H409" s="17">
        <f t="shared" si="27"/>
        <v>2</v>
      </c>
    </row>
    <row r="410" spans="1:8" x14ac:dyDescent="0.45">
      <c r="A410" s="38" t="s">
        <v>7</v>
      </c>
      <c r="B410" s="44"/>
      <c r="C410" s="44"/>
      <c r="D410" s="44"/>
      <c r="E410" s="44"/>
      <c r="F410" s="44">
        <v>1</v>
      </c>
      <c r="G410" s="2"/>
      <c r="H410" s="17">
        <f t="shared" si="27"/>
        <v>1</v>
      </c>
    </row>
    <row r="411" spans="1:8" x14ac:dyDescent="0.45">
      <c r="A411" s="38" t="s">
        <v>3</v>
      </c>
      <c r="B411" s="44"/>
      <c r="C411" s="44"/>
      <c r="D411" s="42">
        <v>4</v>
      </c>
      <c r="E411" s="44"/>
      <c r="F411" s="44"/>
      <c r="G411" s="2"/>
      <c r="H411" s="17">
        <f t="shared" si="27"/>
        <v>4</v>
      </c>
    </row>
    <row r="412" spans="1:8" x14ac:dyDescent="0.45">
      <c r="A412" s="38" t="s">
        <v>8</v>
      </c>
      <c r="B412" s="44"/>
      <c r="C412" s="44"/>
      <c r="D412" s="42">
        <v>1</v>
      </c>
      <c r="E412" s="44"/>
      <c r="F412" s="44"/>
      <c r="G412" s="2"/>
      <c r="H412" s="17">
        <f t="shared" si="27"/>
        <v>1</v>
      </c>
    </row>
    <row r="413" spans="1:8" x14ac:dyDescent="0.45">
      <c r="A413" s="38" t="s">
        <v>53</v>
      </c>
      <c r="B413" s="44"/>
      <c r="C413" s="44"/>
      <c r="D413" s="42">
        <v>1</v>
      </c>
      <c r="E413" s="44"/>
      <c r="F413" s="44"/>
      <c r="G413" s="2"/>
      <c r="H413" s="17">
        <f t="shared" si="27"/>
        <v>1</v>
      </c>
    </row>
    <row r="414" spans="1:8" x14ac:dyDescent="0.45">
      <c r="A414" s="38" t="s">
        <v>46</v>
      </c>
      <c r="B414" s="44"/>
      <c r="C414" s="44"/>
      <c r="D414" s="45"/>
      <c r="E414" s="44"/>
      <c r="F414" s="44"/>
      <c r="G414" s="2"/>
      <c r="H414" s="17">
        <f t="shared" si="27"/>
        <v>0</v>
      </c>
    </row>
    <row r="415" spans="1:8" x14ac:dyDescent="0.45">
      <c r="A415" s="38" t="s">
        <v>44</v>
      </c>
      <c r="B415" s="44"/>
      <c r="C415" s="44"/>
      <c r="D415" s="42">
        <v>1</v>
      </c>
      <c r="E415" s="44"/>
      <c r="F415" s="44"/>
      <c r="G415" s="2"/>
      <c r="H415" s="17">
        <f t="shared" si="27"/>
        <v>1</v>
      </c>
    </row>
    <row r="416" spans="1:8" x14ac:dyDescent="0.45">
      <c r="A416" s="38" t="s">
        <v>52</v>
      </c>
      <c r="B416" s="44"/>
      <c r="C416" s="44"/>
      <c r="D416" s="44"/>
      <c r="E416" s="44"/>
      <c r="F416" s="44"/>
      <c r="G416" s="2"/>
      <c r="H416" s="17">
        <f t="shared" si="27"/>
        <v>0</v>
      </c>
    </row>
    <row r="417" spans="1:8" x14ac:dyDescent="0.45">
      <c r="A417" s="38" t="s">
        <v>84</v>
      </c>
      <c r="B417" s="44"/>
      <c r="C417" s="44"/>
      <c r="D417" s="45"/>
      <c r="E417" s="44"/>
      <c r="F417" s="44"/>
      <c r="G417" s="2"/>
      <c r="H417" s="17">
        <f t="shared" si="27"/>
        <v>0</v>
      </c>
    </row>
    <row r="418" spans="1:8" x14ac:dyDescent="0.45">
      <c r="A418" s="38" t="s">
        <v>40</v>
      </c>
      <c r="B418" s="44"/>
      <c r="C418" s="44"/>
      <c r="D418" s="43">
        <v>2</v>
      </c>
      <c r="E418" s="44"/>
      <c r="F418" s="44"/>
      <c r="G418" s="2"/>
      <c r="H418" s="17">
        <f t="shared" si="27"/>
        <v>2</v>
      </c>
    </row>
    <row r="419" spans="1:8" x14ac:dyDescent="0.45">
      <c r="A419" s="38" t="s">
        <v>51</v>
      </c>
      <c r="B419" s="44"/>
      <c r="C419" s="44"/>
      <c r="D419" s="45"/>
      <c r="E419" s="44"/>
      <c r="F419" s="44"/>
      <c r="G419" s="2"/>
      <c r="H419" s="17">
        <f t="shared" si="27"/>
        <v>0</v>
      </c>
    </row>
    <row r="420" spans="1:8" x14ac:dyDescent="0.45">
      <c r="A420" s="38" t="s">
        <v>45</v>
      </c>
      <c r="B420" s="44"/>
      <c r="C420" s="44"/>
      <c r="D420" s="44"/>
      <c r="E420" s="44"/>
      <c r="F420" s="44"/>
      <c r="G420" s="2"/>
      <c r="H420" s="17">
        <f t="shared" si="27"/>
        <v>0</v>
      </c>
    </row>
    <row r="421" spans="1:8" x14ac:dyDescent="0.45">
      <c r="A421" s="38" t="s">
        <v>42</v>
      </c>
      <c r="B421" s="44"/>
      <c r="C421" s="44"/>
      <c r="D421" s="45"/>
      <c r="E421" s="44"/>
      <c r="F421" s="44"/>
      <c r="G421" s="2"/>
      <c r="H421" s="17">
        <f t="shared" si="27"/>
        <v>0</v>
      </c>
    </row>
    <row r="422" spans="1:8" x14ac:dyDescent="0.45">
      <c r="A422" s="38" t="s">
        <v>43</v>
      </c>
      <c r="B422" s="44"/>
      <c r="C422" s="44"/>
      <c r="D422" s="44"/>
      <c r="E422" s="44"/>
      <c r="F422" s="44"/>
      <c r="G422" s="2"/>
      <c r="H422" s="17">
        <f t="shared" si="27"/>
        <v>0</v>
      </c>
    </row>
    <row r="423" spans="1:8" x14ac:dyDescent="0.45">
      <c r="A423" s="2" t="s">
        <v>24</v>
      </c>
      <c r="B423" s="17">
        <f t="shared" ref="B423:G423" si="28">SUM(B402:B422)</f>
        <v>0</v>
      </c>
      <c r="C423" s="17">
        <f t="shared" si="28"/>
        <v>0</v>
      </c>
      <c r="D423" s="17">
        <f t="shared" si="28"/>
        <v>7371</v>
      </c>
      <c r="E423" s="17">
        <f t="shared" si="28"/>
        <v>1767</v>
      </c>
      <c r="F423" s="17">
        <f t="shared" si="28"/>
        <v>734</v>
      </c>
      <c r="G423" s="17">
        <f t="shared" si="28"/>
        <v>0</v>
      </c>
      <c r="H423" s="17">
        <f t="shared" si="27"/>
        <v>9872</v>
      </c>
    </row>
    <row r="424" spans="1:8" x14ac:dyDescent="0.45">
      <c r="A424" s="2"/>
      <c r="B424" s="2"/>
      <c r="C424" s="2"/>
      <c r="D424" s="2"/>
      <c r="E424" s="2"/>
      <c r="F424" s="2"/>
      <c r="G424" s="2"/>
      <c r="H424" s="2"/>
    </row>
    <row r="425" spans="1:8" x14ac:dyDescent="0.45">
      <c r="A425" s="70">
        <v>1994</v>
      </c>
      <c r="B425" s="2"/>
      <c r="C425" s="2"/>
      <c r="D425" s="2"/>
      <c r="E425" s="2"/>
      <c r="F425" s="2"/>
      <c r="G425" s="2"/>
      <c r="H425" s="2"/>
    </row>
    <row r="426" spans="1:8" x14ac:dyDescent="0.45">
      <c r="A426" s="71" t="s">
        <v>88</v>
      </c>
      <c r="B426" s="2"/>
      <c r="C426" s="2"/>
      <c r="D426" s="2"/>
      <c r="E426" s="2"/>
      <c r="F426" s="2"/>
      <c r="G426" s="2"/>
      <c r="H426" s="2"/>
    </row>
    <row r="427" spans="1:8" x14ac:dyDescent="0.45">
      <c r="A427" s="2"/>
      <c r="B427" s="40">
        <v>34450</v>
      </c>
      <c r="C427" s="40">
        <v>34455</v>
      </c>
      <c r="D427" s="40">
        <v>34460</v>
      </c>
      <c r="E427" s="40">
        <v>34465</v>
      </c>
      <c r="F427" s="40">
        <v>34470</v>
      </c>
      <c r="G427" s="39">
        <v>34475</v>
      </c>
      <c r="H427" s="69" t="s">
        <v>24</v>
      </c>
    </row>
    <row r="428" spans="1:8" x14ac:dyDescent="0.45">
      <c r="A428" s="38" t="s">
        <v>11</v>
      </c>
      <c r="B428" s="43">
        <v>6</v>
      </c>
      <c r="C428" s="43">
        <v>4655</v>
      </c>
      <c r="D428" s="43">
        <v>8052</v>
      </c>
      <c r="E428" s="43">
        <v>3660</v>
      </c>
      <c r="F428" s="43">
        <v>1096</v>
      </c>
      <c r="G428" s="2"/>
      <c r="H428" s="17">
        <f t="shared" ref="H428:H451" si="29">SUM(B428:G428)</f>
        <v>17469</v>
      </c>
    </row>
    <row r="429" spans="1:8" x14ac:dyDescent="0.45">
      <c r="A429" s="38" t="s">
        <v>79</v>
      </c>
      <c r="B429" s="58"/>
      <c r="C429" s="52">
        <v>340</v>
      </c>
      <c r="D429" s="52">
        <v>410</v>
      </c>
      <c r="E429" s="52">
        <v>80</v>
      </c>
      <c r="F429" s="2"/>
      <c r="G429" s="2"/>
      <c r="H429" s="17">
        <f t="shared" si="29"/>
        <v>830</v>
      </c>
    </row>
    <row r="430" spans="1:8" x14ac:dyDescent="0.45">
      <c r="A430" s="38" t="s">
        <v>14</v>
      </c>
      <c r="B430" s="52">
        <v>2</v>
      </c>
      <c r="C430" s="52">
        <v>139</v>
      </c>
      <c r="D430" s="52">
        <v>275</v>
      </c>
      <c r="E430" s="52">
        <v>171</v>
      </c>
      <c r="F430" s="52">
        <v>55</v>
      </c>
      <c r="G430" s="2"/>
      <c r="H430" s="17">
        <f t="shared" si="29"/>
        <v>642</v>
      </c>
    </row>
    <row r="431" spans="1:8" x14ac:dyDescent="0.45">
      <c r="A431" s="38" t="s">
        <v>80</v>
      </c>
      <c r="B431" s="63">
        <v>3</v>
      </c>
      <c r="C431" s="63">
        <v>38</v>
      </c>
      <c r="D431" s="64">
        <v>156</v>
      </c>
      <c r="E431" s="63">
        <v>61</v>
      </c>
      <c r="F431" s="63">
        <v>4</v>
      </c>
      <c r="G431" s="2"/>
      <c r="H431" s="17">
        <f t="shared" si="29"/>
        <v>262</v>
      </c>
    </row>
    <row r="432" spans="1:8" x14ac:dyDescent="0.45">
      <c r="A432" s="38" t="s">
        <v>15</v>
      </c>
      <c r="B432" s="2"/>
      <c r="C432" s="63">
        <v>50</v>
      </c>
      <c r="D432" s="63">
        <v>40</v>
      </c>
      <c r="E432" s="63">
        <v>75</v>
      </c>
      <c r="F432" s="63">
        <v>10</v>
      </c>
      <c r="G432" s="2"/>
      <c r="H432" s="17">
        <f t="shared" si="29"/>
        <v>175</v>
      </c>
    </row>
    <row r="433" spans="1:8" x14ac:dyDescent="0.45">
      <c r="A433" s="38" t="s">
        <v>40</v>
      </c>
      <c r="B433" s="62"/>
      <c r="C433" s="2"/>
      <c r="D433" s="21"/>
      <c r="E433" s="2"/>
      <c r="F433" s="2"/>
      <c r="G433" s="2"/>
      <c r="H433" s="17">
        <f t="shared" si="29"/>
        <v>0</v>
      </c>
    </row>
    <row r="434" spans="1:8" x14ac:dyDescent="0.45">
      <c r="A434" s="38" t="s">
        <v>2</v>
      </c>
      <c r="B434" s="52">
        <v>1</v>
      </c>
      <c r="C434" s="52">
        <v>58</v>
      </c>
      <c r="D434" s="63">
        <v>13</v>
      </c>
      <c r="E434" s="63">
        <v>7</v>
      </c>
      <c r="F434" s="2"/>
      <c r="G434" s="2"/>
      <c r="H434" s="17">
        <f t="shared" si="29"/>
        <v>79</v>
      </c>
    </row>
    <row r="435" spans="1:8" x14ac:dyDescent="0.45">
      <c r="A435" s="38" t="s">
        <v>1</v>
      </c>
      <c r="B435" s="63">
        <v>2</v>
      </c>
      <c r="C435" s="2"/>
      <c r="D435" s="63">
        <v>6</v>
      </c>
      <c r="E435" s="63">
        <v>10</v>
      </c>
      <c r="F435" s="63">
        <v>10</v>
      </c>
      <c r="G435" s="2"/>
      <c r="H435" s="17">
        <f t="shared" si="29"/>
        <v>28</v>
      </c>
    </row>
    <row r="436" spans="1:8" x14ac:dyDescent="0.45">
      <c r="A436" s="38" t="s">
        <v>17</v>
      </c>
      <c r="B436" s="63"/>
      <c r="C436" s="2"/>
      <c r="D436" s="67">
        <v>100</v>
      </c>
      <c r="E436" s="2"/>
      <c r="F436" s="2"/>
      <c r="G436" s="2"/>
      <c r="H436" s="17">
        <f t="shared" si="29"/>
        <v>100</v>
      </c>
    </row>
    <row r="437" spans="1:8" x14ac:dyDescent="0.45">
      <c r="A437" s="38" t="s">
        <v>12</v>
      </c>
      <c r="B437" s="63">
        <v>15</v>
      </c>
      <c r="C437" s="63">
        <v>5</v>
      </c>
      <c r="D437" s="58"/>
      <c r="E437" s="2"/>
      <c r="F437" s="2"/>
      <c r="G437" s="2"/>
      <c r="H437" s="17">
        <f t="shared" si="29"/>
        <v>20</v>
      </c>
    </row>
    <row r="438" spans="1:8" x14ac:dyDescent="0.45">
      <c r="A438" s="38" t="s">
        <v>84</v>
      </c>
      <c r="B438" s="58"/>
      <c r="C438" s="2"/>
      <c r="D438" s="63">
        <v>7</v>
      </c>
      <c r="E438" s="2"/>
      <c r="F438" s="2"/>
      <c r="G438" s="2"/>
      <c r="H438" s="17">
        <f t="shared" si="29"/>
        <v>7</v>
      </c>
    </row>
    <row r="439" spans="1:8" x14ac:dyDescent="0.45">
      <c r="A439" s="38" t="s">
        <v>44</v>
      </c>
      <c r="B439" s="58"/>
      <c r="C439" s="2"/>
      <c r="D439" s="52">
        <v>5</v>
      </c>
      <c r="E439" s="63">
        <v>3</v>
      </c>
      <c r="F439" s="2"/>
      <c r="G439" s="2"/>
      <c r="H439" s="17">
        <f t="shared" si="29"/>
        <v>8</v>
      </c>
    </row>
    <row r="440" spans="1:8" x14ac:dyDescent="0.45">
      <c r="A440" s="38" t="s">
        <v>42</v>
      </c>
      <c r="B440" s="58"/>
      <c r="C440" s="2"/>
      <c r="D440" s="64">
        <v>2</v>
      </c>
      <c r="E440" s="2"/>
      <c r="F440" s="2"/>
      <c r="G440" s="2"/>
      <c r="H440" s="17">
        <f t="shared" si="29"/>
        <v>2</v>
      </c>
    </row>
    <row r="441" spans="1:8" x14ac:dyDescent="0.45">
      <c r="A441" s="38" t="s">
        <v>8</v>
      </c>
      <c r="B441" s="58"/>
      <c r="C441" s="2"/>
      <c r="D441" s="2"/>
      <c r="E441" s="63">
        <v>1</v>
      </c>
      <c r="F441" s="63">
        <v>1</v>
      </c>
      <c r="G441" s="2"/>
      <c r="H441" s="17">
        <f t="shared" si="29"/>
        <v>2</v>
      </c>
    </row>
    <row r="442" spans="1:8" x14ac:dyDescent="0.45">
      <c r="A442" s="38" t="s">
        <v>7</v>
      </c>
      <c r="B442" s="59"/>
      <c r="C442" s="59"/>
      <c r="D442" s="43"/>
      <c r="E442" s="43"/>
      <c r="F442" s="59"/>
      <c r="G442" s="2"/>
      <c r="H442" s="17">
        <f t="shared" si="29"/>
        <v>0</v>
      </c>
    </row>
    <row r="443" spans="1:8" x14ac:dyDescent="0.45">
      <c r="A443" s="38" t="s">
        <v>53</v>
      </c>
      <c r="B443" s="52"/>
      <c r="C443" s="2"/>
      <c r="D443" s="52">
        <v>2</v>
      </c>
      <c r="E443" s="58"/>
      <c r="F443" s="58"/>
      <c r="G443" s="2"/>
      <c r="H443" s="17">
        <f t="shared" si="29"/>
        <v>2</v>
      </c>
    </row>
    <row r="444" spans="1:8" x14ac:dyDescent="0.45">
      <c r="A444" s="38" t="s">
        <v>45</v>
      </c>
      <c r="B444" s="2"/>
      <c r="C444" s="2"/>
      <c r="D444" s="68">
        <v>1</v>
      </c>
      <c r="E444" s="2"/>
      <c r="F444" s="2"/>
      <c r="G444" s="2"/>
      <c r="H444" s="17">
        <f t="shared" si="29"/>
        <v>1</v>
      </c>
    </row>
    <row r="445" spans="1:8" x14ac:dyDescent="0.45">
      <c r="A445" s="38" t="s">
        <v>32</v>
      </c>
      <c r="B445" s="2"/>
      <c r="C445" s="58"/>
      <c r="D445" s="58"/>
      <c r="E445" s="58"/>
      <c r="F445" s="58"/>
      <c r="G445" s="2"/>
      <c r="H445" s="17">
        <f t="shared" si="29"/>
        <v>0</v>
      </c>
    </row>
    <row r="446" spans="1:8" x14ac:dyDescent="0.45">
      <c r="A446" s="38" t="s">
        <v>52</v>
      </c>
      <c r="B446" s="2"/>
      <c r="C446" s="2"/>
      <c r="D446" s="2"/>
      <c r="E446" s="2"/>
      <c r="F446" s="2"/>
      <c r="G446" s="2"/>
      <c r="H446" s="17">
        <f t="shared" si="29"/>
        <v>0</v>
      </c>
    </row>
    <row r="447" spans="1:8" x14ac:dyDescent="0.45">
      <c r="A447" s="38" t="s">
        <v>51</v>
      </c>
      <c r="B447" s="2"/>
      <c r="C447" s="58"/>
      <c r="D447" s="67">
        <v>1</v>
      </c>
      <c r="E447" s="58"/>
      <c r="F447" s="2"/>
      <c r="G447" s="2"/>
      <c r="H447" s="17">
        <f t="shared" si="29"/>
        <v>1</v>
      </c>
    </row>
    <row r="448" spans="1:8" x14ac:dyDescent="0.45">
      <c r="A448" s="38" t="s">
        <v>4</v>
      </c>
      <c r="B448" s="2"/>
      <c r="C448" s="2"/>
      <c r="D448" s="2"/>
      <c r="E448" s="58"/>
      <c r="F448" s="58"/>
      <c r="G448" s="2"/>
      <c r="H448" s="17">
        <f t="shared" si="29"/>
        <v>0</v>
      </c>
    </row>
    <row r="449" spans="1:8" x14ac:dyDescent="0.45">
      <c r="A449" s="38" t="s">
        <v>13</v>
      </c>
      <c r="B449" s="52"/>
      <c r="C449" s="58"/>
      <c r="D449" s="58"/>
      <c r="E449" s="58"/>
      <c r="F449" s="58"/>
      <c r="G449" s="2"/>
      <c r="H449" s="17">
        <f t="shared" si="29"/>
        <v>0</v>
      </c>
    </row>
    <row r="450" spans="1:8" x14ac:dyDescent="0.45">
      <c r="A450" s="38" t="s">
        <v>85</v>
      </c>
      <c r="B450" s="58"/>
      <c r="C450" s="58"/>
      <c r="D450" s="58"/>
      <c r="E450" s="58"/>
      <c r="F450" s="58"/>
      <c r="G450" s="2"/>
      <c r="H450" s="17">
        <f t="shared" si="29"/>
        <v>0</v>
      </c>
    </row>
    <row r="451" spans="1:8" x14ac:dyDescent="0.45">
      <c r="A451" s="2" t="s">
        <v>24</v>
      </c>
      <c r="B451" s="17">
        <f t="shared" ref="B451:G451" si="30">SUM(B428:B450)</f>
        <v>29</v>
      </c>
      <c r="C451" s="17">
        <f t="shared" si="30"/>
        <v>5285</v>
      </c>
      <c r="D451" s="17">
        <f t="shared" si="30"/>
        <v>9070</v>
      </c>
      <c r="E451" s="17">
        <f t="shared" si="30"/>
        <v>4068</v>
      </c>
      <c r="F451" s="17">
        <f t="shared" si="30"/>
        <v>1176</v>
      </c>
      <c r="G451" s="17">
        <f t="shared" si="30"/>
        <v>0</v>
      </c>
      <c r="H451" s="17">
        <f t="shared" si="29"/>
        <v>19628</v>
      </c>
    </row>
    <row r="454" spans="1:8" x14ac:dyDescent="0.45">
      <c r="A454" s="1" t="s">
        <v>109</v>
      </c>
    </row>
    <row r="456" spans="1:8" x14ac:dyDescent="0.45">
      <c r="A456" s="37" t="s">
        <v>91</v>
      </c>
      <c r="B456" s="37"/>
      <c r="C456" s="37"/>
      <c r="D456" s="2"/>
      <c r="E456" s="2"/>
      <c r="F456" s="2"/>
      <c r="G456" s="2"/>
      <c r="H456" s="2"/>
    </row>
    <row r="457" spans="1:8" x14ac:dyDescent="0.45">
      <c r="A457" s="2" t="s">
        <v>108</v>
      </c>
      <c r="B457" s="54"/>
      <c r="C457" s="54"/>
      <c r="D457" s="54" t="s">
        <v>29</v>
      </c>
      <c r="E457" s="54"/>
      <c r="F457" s="54"/>
      <c r="G457" s="54"/>
      <c r="H457" s="2"/>
    </row>
    <row r="458" spans="1:8" x14ac:dyDescent="0.45">
      <c r="A458" s="1"/>
      <c r="B458" s="40"/>
      <c r="C458" s="40"/>
      <c r="D458" s="40"/>
      <c r="E458" s="40"/>
      <c r="F458" s="40"/>
      <c r="G458" s="40"/>
      <c r="H458" s="2"/>
    </row>
    <row r="459" spans="1:8" x14ac:dyDescent="0.45">
      <c r="A459" s="52"/>
      <c r="B459" s="52" t="s">
        <v>20</v>
      </c>
      <c r="C459" s="52" t="s">
        <v>21</v>
      </c>
      <c r="D459" s="52"/>
      <c r="E459" s="2"/>
      <c r="F459" s="52"/>
      <c r="G459" s="52"/>
      <c r="H459" s="2"/>
    </row>
    <row r="460" spans="1:8" x14ac:dyDescent="0.45">
      <c r="A460" s="4" t="s">
        <v>19</v>
      </c>
      <c r="B460" s="4">
        <v>26</v>
      </c>
      <c r="C460" s="4">
        <v>1</v>
      </c>
      <c r="D460" s="4">
        <v>6</v>
      </c>
      <c r="E460" s="4">
        <v>11</v>
      </c>
      <c r="F460" s="4">
        <v>16</v>
      </c>
      <c r="G460" s="4">
        <v>21</v>
      </c>
      <c r="H460" s="4" t="s">
        <v>24</v>
      </c>
    </row>
    <row r="461" spans="1:8" x14ac:dyDescent="0.45">
      <c r="A461" s="2" t="s">
        <v>11</v>
      </c>
      <c r="B461" s="44">
        <v>0</v>
      </c>
      <c r="C461" s="44">
        <v>0</v>
      </c>
      <c r="D461" s="44">
        <v>1326</v>
      </c>
      <c r="E461" s="44">
        <v>814</v>
      </c>
      <c r="F461" s="44">
        <v>942</v>
      </c>
      <c r="G461" s="2">
        <v>146</v>
      </c>
      <c r="H461" s="44">
        <f>SUM(B461:G461)</f>
        <v>3228</v>
      </c>
    </row>
    <row r="462" spans="1:8" x14ac:dyDescent="0.45">
      <c r="A462" s="2" t="s">
        <v>17</v>
      </c>
      <c r="B462" s="44">
        <v>0</v>
      </c>
      <c r="C462" s="44">
        <v>40</v>
      </c>
      <c r="D462" s="44">
        <v>500</v>
      </c>
      <c r="E462" s="44">
        <v>1000</v>
      </c>
      <c r="F462" s="44">
        <v>84</v>
      </c>
      <c r="G462" s="2">
        <v>6</v>
      </c>
      <c r="H462" s="44">
        <f t="shared" ref="H462:H485" si="31">SUM(B462:G462)</f>
        <v>1630</v>
      </c>
    </row>
    <row r="463" spans="1:8" x14ac:dyDescent="0.45">
      <c r="A463" s="2" t="s">
        <v>14</v>
      </c>
      <c r="B463" s="44">
        <v>0</v>
      </c>
      <c r="C463" s="44">
        <v>40</v>
      </c>
      <c r="D463" s="44">
        <v>500</v>
      </c>
      <c r="E463" s="44">
        <v>420</v>
      </c>
      <c r="F463" s="44">
        <v>120</v>
      </c>
      <c r="G463" s="2">
        <v>12</v>
      </c>
      <c r="H463" s="44">
        <f t="shared" si="31"/>
        <v>1092</v>
      </c>
    </row>
    <row r="464" spans="1:8" x14ac:dyDescent="0.45">
      <c r="A464" s="2" t="s">
        <v>2</v>
      </c>
      <c r="B464" s="44">
        <v>5</v>
      </c>
      <c r="C464" s="44">
        <v>68</v>
      </c>
      <c r="D464" s="44">
        <v>37</v>
      </c>
      <c r="E464" s="44">
        <v>51</v>
      </c>
      <c r="F464" s="44">
        <v>14</v>
      </c>
      <c r="G464" s="2">
        <v>2</v>
      </c>
      <c r="H464" s="44">
        <f t="shared" si="31"/>
        <v>177</v>
      </c>
    </row>
    <row r="465" spans="1:8" x14ac:dyDescent="0.45">
      <c r="A465" s="2" t="s">
        <v>9</v>
      </c>
      <c r="B465" s="44">
        <v>0</v>
      </c>
      <c r="C465" s="44">
        <v>23</v>
      </c>
      <c r="D465" s="44">
        <v>29</v>
      </c>
      <c r="E465" s="44">
        <v>4</v>
      </c>
      <c r="F465" s="44">
        <v>106</v>
      </c>
      <c r="G465" s="2">
        <v>110</v>
      </c>
      <c r="H465" s="44">
        <f t="shared" si="31"/>
        <v>272</v>
      </c>
    </row>
    <row r="466" spans="1:8" x14ac:dyDescent="0.45">
      <c r="A466" s="2" t="s">
        <v>12</v>
      </c>
      <c r="B466" s="44">
        <v>0</v>
      </c>
      <c r="C466" s="44">
        <v>0</v>
      </c>
      <c r="D466" s="44">
        <v>44</v>
      </c>
      <c r="E466" s="44">
        <v>49</v>
      </c>
      <c r="F466" s="44">
        <v>43</v>
      </c>
      <c r="G466" s="2"/>
      <c r="H466" s="44">
        <f t="shared" si="31"/>
        <v>136</v>
      </c>
    </row>
    <row r="467" spans="1:8" x14ac:dyDescent="0.45">
      <c r="A467" s="2" t="s">
        <v>1</v>
      </c>
      <c r="B467" s="44">
        <v>0</v>
      </c>
      <c r="C467" s="44">
        <v>0</v>
      </c>
      <c r="D467" s="44">
        <v>15</v>
      </c>
      <c r="E467" s="44">
        <v>81</v>
      </c>
      <c r="F467" s="44">
        <v>34</v>
      </c>
      <c r="G467" s="2">
        <v>34</v>
      </c>
      <c r="H467" s="44">
        <f t="shared" si="31"/>
        <v>164</v>
      </c>
    </row>
    <row r="468" spans="1:8" x14ac:dyDescent="0.45">
      <c r="A468" s="2" t="s">
        <v>15</v>
      </c>
      <c r="B468" s="44">
        <v>0</v>
      </c>
      <c r="C468" s="44">
        <v>0</v>
      </c>
      <c r="D468" s="44">
        <v>0</v>
      </c>
      <c r="E468" s="44">
        <v>119</v>
      </c>
      <c r="F468" s="44">
        <v>5</v>
      </c>
      <c r="G468" s="2">
        <v>1</v>
      </c>
      <c r="H468" s="44">
        <f t="shared" si="31"/>
        <v>125</v>
      </c>
    </row>
    <row r="469" spans="1:8" x14ac:dyDescent="0.45">
      <c r="A469" s="2" t="s">
        <v>18</v>
      </c>
      <c r="B469" s="44">
        <v>0</v>
      </c>
      <c r="C469" s="44">
        <v>1</v>
      </c>
      <c r="D469" s="44">
        <v>103</v>
      </c>
      <c r="E469" s="44">
        <v>0</v>
      </c>
      <c r="F469" s="44">
        <v>0</v>
      </c>
      <c r="G469" s="2"/>
      <c r="H469" s="44">
        <f t="shared" si="31"/>
        <v>104</v>
      </c>
    </row>
    <row r="470" spans="1:8" x14ac:dyDescent="0.45">
      <c r="A470" s="2" t="s">
        <v>74</v>
      </c>
      <c r="B470" s="44">
        <v>0</v>
      </c>
      <c r="C470" s="44">
        <v>0</v>
      </c>
      <c r="D470" s="44">
        <v>65</v>
      </c>
      <c r="E470" s="44">
        <v>17</v>
      </c>
      <c r="F470" s="44">
        <v>17</v>
      </c>
      <c r="G470" s="2"/>
      <c r="H470" s="44">
        <f t="shared" si="31"/>
        <v>99</v>
      </c>
    </row>
    <row r="471" spans="1:8" x14ac:dyDescent="0.45">
      <c r="A471" s="2" t="s">
        <v>10</v>
      </c>
      <c r="B471" s="44">
        <v>0</v>
      </c>
      <c r="C471" s="44">
        <v>7</v>
      </c>
      <c r="D471" s="44">
        <v>15</v>
      </c>
      <c r="E471" s="44">
        <v>49</v>
      </c>
      <c r="F471" s="44">
        <v>10</v>
      </c>
      <c r="G471" s="2"/>
      <c r="H471" s="44">
        <f t="shared" si="31"/>
        <v>81</v>
      </c>
    </row>
    <row r="472" spans="1:8" x14ac:dyDescent="0.45">
      <c r="A472" s="58" t="s">
        <v>51</v>
      </c>
      <c r="B472" s="44">
        <v>0</v>
      </c>
      <c r="C472" s="44">
        <v>0</v>
      </c>
      <c r="D472" s="44">
        <v>18</v>
      </c>
      <c r="E472" s="44">
        <v>0</v>
      </c>
      <c r="F472" s="44">
        <v>0</v>
      </c>
      <c r="G472" s="2"/>
      <c r="H472" s="44">
        <f t="shared" si="31"/>
        <v>18</v>
      </c>
    </row>
    <row r="473" spans="1:8" x14ac:dyDescent="0.45">
      <c r="A473" s="2" t="s">
        <v>3</v>
      </c>
      <c r="B473" s="44">
        <v>1</v>
      </c>
      <c r="C473" s="44">
        <v>4</v>
      </c>
      <c r="D473" s="44">
        <v>2</v>
      </c>
      <c r="E473" s="44">
        <v>5</v>
      </c>
      <c r="F473" s="44">
        <v>5</v>
      </c>
      <c r="G473" s="44">
        <v>3</v>
      </c>
      <c r="H473" s="44">
        <f t="shared" si="31"/>
        <v>20</v>
      </c>
    </row>
    <row r="474" spans="1:8" x14ac:dyDescent="0.45">
      <c r="A474" s="2" t="s">
        <v>43</v>
      </c>
      <c r="B474" s="44">
        <v>0</v>
      </c>
      <c r="C474" s="44">
        <v>2</v>
      </c>
      <c r="D474" s="44">
        <v>2</v>
      </c>
      <c r="E474" s="44">
        <v>4</v>
      </c>
      <c r="F474" s="44">
        <v>3</v>
      </c>
      <c r="G474" s="2"/>
      <c r="H474" s="44">
        <f t="shared" si="31"/>
        <v>11</v>
      </c>
    </row>
    <row r="475" spans="1:8" x14ac:dyDescent="0.45">
      <c r="A475" s="2" t="s">
        <v>7</v>
      </c>
      <c r="B475" s="44">
        <v>0</v>
      </c>
      <c r="C475" s="44">
        <v>1</v>
      </c>
      <c r="D475" s="44">
        <v>0</v>
      </c>
      <c r="E475" s="44">
        <v>9</v>
      </c>
      <c r="F475" s="44">
        <v>0</v>
      </c>
      <c r="G475" s="2"/>
      <c r="H475" s="44">
        <f t="shared" si="31"/>
        <v>10</v>
      </c>
    </row>
    <row r="476" spans="1:8" x14ac:dyDescent="0.45">
      <c r="A476" s="2" t="s">
        <v>8</v>
      </c>
      <c r="B476" s="44">
        <v>0</v>
      </c>
      <c r="C476" s="44">
        <v>0</v>
      </c>
      <c r="D476" s="44">
        <v>0</v>
      </c>
      <c r="E476" s="44">
        <v>1</v>
      </c>
      <c r="F476" s="44">
        <v>8</v>
      </c>
      <c r="G476" s="2">
        <v>2</v>
      </c>
      <c r="H476" s="44">
        <f t="shared" si="31"/>
        <v>11</v>
      </c>
    </row>
    <row r="477" spans="1:8" x14ac:dyDescent="0.45">
      <c r="A477" s="2" t="s">
        <v>41</v>
      </c>
      <c r="B477" s="44">
        <v>0</v>
      </c>
      <c r="C477" s="44">
        <v>0</v>
      </c>
      <c r="D477" s="44">
        <v>4</v>
      </c>
      <c r="E477" s="44">
        <v>0</v>
      </c>
      <c r="F477" s="44">
        <v>0</v>
      </c>
      <c r="G477" s="2"/>
      <c r="H477" s="44">
        <f t="shared" si="31"/>
        <v>4</v>
      </c>
    </row>
    <row r="478" spans="1:8" x14ac:dyDescent="0.45">
      <c r="A478" s="2" t="s">
        <v>45</v>
      </c>
      <c r="B478" s="44">
        <v>0</v>
      </c>
      <c r="C478" s="44">
        <v>0</v>
      </c>
      <c r="D478" s="44">
        <v>0</v>
      </c>
      <c r="E478" s="44">
        <v>1</v>
      </c>
      <c r="F478" s="44">
        <v>2</v>
      </c>
      <c r="G478" s="2"/>
      <c r="H478" s="44">
        <f t="shared" si="31"/>
        <v>3</v>
      </c>
    </row>
    <row r="479" spans="1:8" x14ac:dyDescent="0.45">
      <c r="A479" s="72" t="s">
        <v>50</v>
      </c>
      <c r="B479" s="44">
        <v>0</v>
      </c>
      <c r="C479" s="44">
        <v>0</v>
      </c>
      <c r="D479" s="44">
        <v>0</v>
      </c>
      <c r="E479" s="44">
        <v>3</v>
      </c>
      <c r="F479" s="44">
        <v>0</v>
      </c>
      <c r="G479" s="2"/>
      <c r="H479" s="44">
        <f t="shared" si="31"/>
        <v>3</v>
      </c>
    </row>
    <row r="480" spans="1:8" x14ac:dyDescent="0.45">
      <c r="A480" s="2" t="s">
        <v>42</v>
      </c>
      <c r="B480" s="44">
        <v>0</v>
      </c>
      <c r="C480" s="44">
        <v>0</v>
      </c>
      <c r="D480" s="44">
        <v>0</v>
      </c>
      <c r="E480" s="44">
        <v>1</v>
      </c>
      <c r="F480" s="44">
        <v>2</v>
      </c>
      <c r="G480" s="2"/>
      <c r="H480" s="44">
        <f t="shared" si="31"/>
        <v>3</v>
      </c>
    </row>
    <row r="481" spans="1:8" x14ac:dyDescent="0.45">
      <c r="A481" s="2" t="s">
        <v>44</v>
      </c>
      <c r="B481" s="44">
        <v>0</v>
      </c>
      <c r="C481" s="44">
        <v>0</v>
      </c>
      <c r="D481" s="44">
        <v>0</v>
      </c>
      <c r="E481" s="44">
        <v>1</v>
      </c>
      <c r="F481" s="44">
        <v>0</v>
      </c>
      <c r="G481" s="2"/>
      <c r="H481" s="44">
        <f t="shared" si="31"/>
        <v>1</v>
      </c>
    </row>
    <row r="482" spans="1:8" x14ac:dyDescent="0.45">
      <c r="A482" s="2" t="s">
        <v>32</v>
      </c>
      <c r="B482" s="44">
        <v>0</v>
      </c>
      <c r="C482" s="44">
        <v>0</v>
      </c>
      <c r="D482" s="44">
        <v>0</v>
      </c>
      <c r="E482" s="44">
        <v>1</v>
      </c>
      <c r="F482" s="44">
        <v>0</v>
      </c>
      <c r="G482" s="2"/>
      <c r="H482" s="44">
        <f t="shared" si="31"/>
        <v>1</v>
      </c>
    </row>
    <row r="483" spans="1:8" x14ac:dyDescent="0.45">
      <c r="A483" s="2" t="s">
        <v>52</v>
      </c>
      <c r="B483" s="44">
        <v>0</v>
      </c>
      <c r="C483" s="44">
        <v>0</v>
      </c>
      <c r="D483" s="44">
        <v>0</v>
      </c>
      <c r="E483" s="44">
        <v>0</v>
      </c>
      <c r="F483" s="44">
        <v>1</v>
      </c>
      <c r="G483" s="2"/>
      <c r="H483" s="44">
        <f t="shared" si="31"/>
        <v>1</v>
      </c>
    </row>
    <row r="484" spans="1:8" x14ac:dyDescent="0.45">
      <c r="A484" s="2" t="s">
        <v>16</v>
      </c>
      <c r="B484" s="44">
        <v>0</v>
      </c>
      <c r="C484" s="44">
        <v>0</v>
      </c>
      <c r="D484" s="44">
        <v>1</v>
      </c>
      <c r="E484" s="44">
        <v>0</v>
      </c>
      <c r="F484" s="44">
        <v>0</v>
      </c>
      <c r="G484" s="2"/>
      <c r="H484" s="44">
        <f t="shared" si="31"/>
        <v>1</v>
      </c>
    </row>
    <row r="485" spans="1:8" x14ac:dyDescent="0.45">
      <c r="A485" s="37" t="s">
        <v>24</v>
      </c>
      <c r="B485" s="44">
        <v>6</v>
      </c>
      <c r="C485" s="44">
        <v>186</v>
      </c>
      <c r="D485" s="44">
        <v>2661</v>
      </c>
      <c r="E485" s="44">
        <v>2630</v>
      </c>
      <c r="F485" s="44">
        <v>1396</v>
      </c>
      <c r="G485" s="2">
        <f>SUM(G461:G484)</f>
        <v>316</v>
      </c>
      <c r="H485" s="44">
        <f t="shared" si="31"/>
        <v>7195</v>
      </c>
    </row>
    <row r="486" spans="1:8" x14ac:dyDescent="0.45">
      <c r="A486" s="2"/>
      <c r="B486" s="2"/>
      <c r="C486" s="2"/>
      <c r="D486" s="2"/>
      <c r="E486" s="2"/>
      <c r="F486" s="2"/>
      <c r="G486" s="2"/>
      <c r="H486" s="17"/>
    </row>
    <row r="487" spans="1:8" x14ac:dyDescent="0.45">
      <c r="A487" s="37" t="s">
        <v>91</v>
      </c>
      <c r="B487" s="2"/>
      <c r="C487" s="2"/>
      <c r="D487" s="2"/>
      <c r="E487" s="2"/>
      <c r="F487" s="2"/>
      <c r="G487" s="2"/>
      <c r="H487" s="2"/>
    </row>
    <row r="488" spans="1:8" x14ac:dyDescent="0.45">
      <c r="A488" s="2" t="s">
        <v>110</v>
      </c>
      <c r="B488" s="2"/>
      <c r="C488" s="2"/>
      <c r="D488" s="2"/>
      <c r="E488" s="2"/>
      <c r="F488" s="2"/>
      <c r="G488" s="2"/>
      <c r="H488" s="2"/>
    </row>
    <row r="489" spans="1:8" x14ac:dyDescent="0.45">
      <c r="A489" s="1"/>
      <c r="B489" s="2"/>
      <c r="C489" s="2"/>
      <c r="D489" s="2"/>
      <c r="E489" s="2"/>
      <c r="F489" s="2"/>
      <c r="G489" s="2"/>
      <c r="H489" s="2"/>
    </row>
    <row r="490" spans="1:8" x14ac:dyDescent="0.45">
      <c r="A490" s="2"/>
      <c r="B490" s="52" t="s">
        <v>20</v>
      </c>
      <c r="C490" s="12" t="s">
        <v>21</v>
      </c>
      <c r="D490" s="2"/>
      <c r="E490" s="2"/>
      <c r="F490" s="2"/>
      <c r="G490" s="2"/>
      <c r="H490" s="2"/>
    </row>
    <row r="491" spans="1:8" x14ac:dyDescent="0.45">
      <c r="A491" s="4" t="s">
        <v>19</v>
      </c>
      <c r="B491" s="4">
        <v>26</v>
      </c>
      <c r="C491" s="4">
        <v>1</v>
      </c>
      <c r="D491" s="4">
        <v>6</v>
      </c>
      <c r="E491" s="4">
        <v>11</v>
      </c>
      <c r="F491" s="4">
        <v>16</v>
      </c>
      <c r="G491" s="4">
        <v>21</v>
      </c>
      <c r="H491" s="4" t="s">
        <v>24</v>
      </c>
    </row>
    <row r="492" spans="1:8" x14ac:dyDescent="0.45">
      <c r="A492" s="2" t="s">
        <v>11</v>
      </c>
      <c r="B492" s="44">
        <v>0</v>
      </c>
      <c r="C492" s="44">
        <v>0</v>
      </c>
      <c r="D492" s="44">
        <v>1326</v>
      </c>
      <c r="E492" s="44">
        <v>774</v>
      </c>
      <c r="F492" s="44">
        <v>925</v>
      </c>
      <c r="G492" s="44">
        <v>46</v>
      </c>
      <c r="H492" s="44">
        <f>SUM(B492:G492)</f>
        <v>3071</v>
      </c>
    </row>
    <row r="493" spans="1:8" x14ac:dyDescent="0.45">
      <c r="A493" s="2" t="s">
        <v>14</v>
      </c>
      <c r="B493" s="44">
        <v>0</v>
      </c>
      <c r="C493" s="44">
        <v>40</v>
      </c>
      <c r="D493" s="44">
        <v>500</v>
      </c>
      <c r="E493" s="44">
        <v>419</v>
      </c>
      <c r="F493" s="44">
        <v>120</v>
      </c>
      <c r="G493" s="44">
        <v>12</v>
      </c>
      <c r="H493" s="44">
        <f t="shared" ref="H493:H511" si="32">SUM(B493:G493)</f>
        <v>1091</v>
      </c>
    </row>
    <row r="494" spans="1:8" x14ac:dyDescent="0.45">
      <c r="A494" s="2" t="s">
        <v>2</v>
      </c>
      <c r="B494" s="44">
        <v>5</v>
      </c>
      <c r="C494" s="44">
        <v>68</v>
      </c>
      <c r="D494" s="44">
        <v>37</v>
      </c>
      <c r="E494" s="44">
        <v>46</v>
      </c>
      <c r="F494" s="44">
        <v>14</v>
      </c>
      <c r="G494" s="2"/>
      <c r="H494" s="44">
        <f t="shared" si="32"/>
        <v>170</v>
      </c>
    </row>
    <row r="495" spans="1:8" x14ac:dyDescent="0.45">
      <c r="A495" s="2" t="s">
        <v>1</v>
      </c>
      <c r="B495" s="44">
        <v>0</v>
      </c>
      <c r="C495" s="44">
        <v>0</v>
      </c>
      <c r="D495" s="44">
        <v>15</v>
      </c>
      <c r="E495" s="44">
        <v>81</v>
      </c>
      <c r="F495" s="44">
        <v>31</v>
      </c>
      <c r="G495" s="44">
        <v>32</v>
      </c>
      <c r="H495" s="44">
        <f t="shared" si="32"/>
        <v>159</v>
      </c>
    </row>
    <row r="496" spans="1:8" x14ac:dyDescent="0.45">
      <c r="A496" s="2" t="s">
        <v>12</v>
      </c>
      <c r="B496" s="44">
        <v>0</v>
      </c>
      <c r="C496" s="44">
        <v>0</v>
      </c>
      <c r="D496" s="44">
        <v>44</v>
      </c>
      <c r="E496" s="44">
        <v>49</v>
      </c>
      <c r="F496" s="44">
        <v>28</v>
      </c>
      <c r="G496" s="2"/>
      <c r="H496" s="44">
        <f t="shared" si="32"/>
        <v>121</v>
      </c>
    </row>
    <row r="497" spans="1:8" x14ac:dyDescent="0.45">
      <c r="A497" s="2" t="s">
        <v>18</v>
      </c>
      <c r="B497" s="44">
        <v>0</v>
      </c>
      <c r="C497" s="44">
        <v>0</v>
      </c>
      <c r="D497" s="44">
        <v>103</v>
      </c>
      <c r="E497" s="44">
        <v>0</v>
      </c>
      <c r="F497" s="44">
        <v>0</v>
      </c>
      <c r="G497" s="2"/>
      <c r="H497" s="44">
        <f t="shared" si="32"/>
        <v>103</v>
      </c>
    </row>
    <row r="498" spans="1:8" x14ac:dyDescent="0.45">
      <c r="A498" s="2" t="s">
        <v>74</v>
      </c>
      <c r="B498" s="44">
        <v>0</v>
      </c>
      <c r="C498" s="44">
        <v>0</v>
      </c>
      <c r="D498" s="44">
        <v>63</v>
      </c>
      <c r="E498" s="44">
        <v>17</v>
      </c>
      <c r="F498" s="44">
        <v>17</v>
      </c>
      <c r="G498" s="2"/>
      <c r="H498" s="44">
        <f t="shared" si="32"/>
        <v>97</v>
      </c>
    </row>
    <row r="499" spans="1:8" x14ac:dyDescent="0.45">
      <c r="A499" s="2" t="s">
        <v>10</v>
      </c>
      <c r="B499" s="44">
        <v>0</v>
      </c>
      <c r="C499" s="44">
        <v>0</v>
      </c>
      <c r="D499" s="44">
        <v>15</v>
      </c>
      <c r="E499" s="44">
        <v>29</v>
      </c>
      <c r="F499" s="44">
        <v>2</v>
      </c>
      <c r="G499" s="2"/>
      <c r="H499" s="44">
        <f t="shared" si="32"/>
        <v>46</v>
      </c>
    </row>
    <row r="500" spans="1:8" x14ac:dyDescent="0.45">
      <c r="A500" s="2" t="s">
        <v>15</v>
      </c>
      <c r="B500" s="44">
        <v>0</v>
      </c>
      <c r="C500" s="44">
        <v>0</v>
      </c>
      <c r="D500" s="44">
        <v>0</v>
      </c>
      <c r="E500" s="44">
        <v>19</v>
      </c>
      <c r="F500" s="44">
        <v>2</v>
      </c>
      <c r="G500" s="44">
        <v>1</v>
      </c>
      <c r="H500" s="44">
        <f t="shared" si="32"/>
        <v>22</v>
      </c>
    </row>
    <row r="501" spans="1:8" x14ac:dyDescent="0.45">
      <c r="A501" s="2" t="s">
        <v>51</v>
      </c>
      <c r="B501" s="44">
        <v>0</v>
      </c>
      <c r="C501" s="44">
        <v>0</v>
      </c>
      <c r="D501" s="44">
        <v>18</v>
      </c>
      <c r="E501" s="44">
        <v>0</v>
      </c>
      <c r="F501" s="44">
        <v>0</v>
      </c>
      <c r="G501" s="2"/>
      <c r="H501" s="44">
        <f t="shared" si="32"/>
        <v>18</v>
      </c>
    </row>
    <row r="502" spans="1:8" x14ac:dyDescent="0.45">
      <c r="A502" s="2" t="s">
        <v>41</v>
      </c>
      <c r="B502" s="44">
        <v>0</v>
      </c>
      <c r="C502" s="44">
        <v>0</v>
      </c>
      <c r="D502" s="44">
        <v>4</v>
      </c>
      <c r="E502" s="44">
        <v>0</v>
      </c>
      <c r="F502" s="44">
        <v>0</v>
      </c>
      <c r="G502" s="2"/>
      <c r="H502" s="44">
        <f t="shared" si="32"/>
        <v>4</v>
      </c>
    </row>
    <row r="503" spans="1:8" x14ac:dyDescent="0.45">
      <c r="A503" s="2" t="s">
        <v>3</v>
      </c>
      <c r="B503" s="44">
        <v>0</v>
      </c>
      <c r="C503" s="44">
        <v>1</v>
      </c>
      <c r="D503" s="44">
        <v>1</v>
      </c>
      <c r="E503" s="44">
        <v>1</v>
      </c>
      <c r="F503" s="44">
        <v>1</v>
      </c>
      <c r="G503" s="44">
        <v>3</v>
      </c>
      <c r="H503" s="44">
        <f t="shared" si="32"/>
        <v>7</v>
      </c>
    </row>
    <row r="504" spans="1:8" x14ac:dyDescent="0.45">
      <c r="A504" s="2" t="s">
        <v>9</v>
      </c>
      <c r="B504" s="44">
        <v>0</v>
      </c>
      <c r="C504" s="44">
        <v>0</v>
      </c>
      <c r="D504" s="44">
        <v>0</v>
      </c>
      <c r="E504" s="44">
        <v>4</v>
      </c>
      <c r="F504" s="44">
        <v>0</v>
      </c>
      <c r="G504" s="44">
        <v>65</v>
      </c>
      <c r="H504" s="44">
        <f t="shared" si="32"/>
        <v>69</v>
      </c>
    </row>
    <row r="505" spans="1:8" x14ac:dyDescent="0.45">
      <c r="A505" s="2" t="s">
        <v>92</v>
      </c>
      <c r="B505" s="44">
        <v>0</v>
      </c>
      <c r="C505" s="44">
        <v>0</v>
      </c>
      <c r="D505" s="44">
        <v>0</v>
      </c>
      <c r="E505" s="44">
        <v>1</v>
      </c>
      <c r="F505" s="44">
        <v>2</v>
      </c>
      <c r="G505" s="2"/>
      <c r="H505" s="44">
        <f t="shared" si="32"/>
        <v>3</v>
      </c>
    </row>
    <row r="506" spans="1:8" x14ac:dyDescent="0.45">
      <c r="A506" s="2" t="s">
        <v>50</v>
      </c>
      <c r="B506" s="44">
        <v>0</v>
      </c>
      <c r="C506" s="44">
        <v>0</v>
      </c>
      <c r="D506" s="44">
        <v>0</v>
      </c>
      <c r="E506" s="44">
        <v>3</v>
      </c>
      <c r="F506" s="44">
        <v>0</v>
      </c>
      <c r="G506" s="2"/>
      <c r="H506" s="44">
        <f t="shared" si="32"/>
        <v>3</v>
      </c>
    </row>
    <row r="507" spans="1:8" x14ac:dyDescent="0.45">
      <c r="A507" s="2" t="s">
        <v>42</v>
      </c>
      <c r="B507" s="44">
        <v>0</v>
      </c>
      <c r="C507" s="44">
        <v>0</v>
      </c>
      <c r="D507" s="44">
        <v>0</v>
      </c>
      <c r="E507" s="44">
        <v>1</v>
      </c>
      <c r="F507" s="44">
        <v>2</v>
      </c>
      <c r="G507" s="2"/>
      <c r="H507" s="44">
        <f t="shared" si="32"/>
        <v>3</v>
      </c>
    </row>
    <row r="508" spans="1:8" x14ac:dyDescent="0.45">
      <c r="A508" s="2" t="s">
        <v>8</v>
      </c>
      <c r="B508" s="44">
        <v>0</v>
      </c>
      <c r="C508" s="44">
        <v>0</v>
      </c>
      <c r="D508" s="44">
        <v>0</v>
      </c>
      <c r="E508" s="44">
        <v>1</v>
      </c>
      <c r="F508" s="44">
        <v>2</v>
      </c>
      <c r="G508" s="2"/>
      <c r="H508" s="44">
        <f t="shared" si="32"/>
        <v>3</v>
      </c>
    </row>
    <row r="509" spans="1:8" x14ac:dyDescent="0.45">
      <c r="A509" s="2" t="s">
        <v>7</v>
      </c>
      <c r="B509" s="44">
        <v>0</v>
      </c>
      <c r="C509" s="44">
        <v>1</v>
      </c>
      <c r="D509" s="44">
        <v>0</v>
      </c>
      <c r="E509" s="44">
        <v>1</v>
      </c>
      <c r="F509" s="44">
        <v>0</v>
      </c>
      <c r="G509" s="2"/>
      <c r="H509" s="44">
        <f t="shared" si="32"/>
        <v>2</v>
      </c>
    </row>
    <row r="510" spans="1:8" x14ac:dyDescent="0.45">
      <c r="A510" s="2" t="s">
        <v>32</v>
      </c>
      <c r="B510" s="44">
        <v>0</v>
      </c>
      <c r="C510" s="44">
        <v>0</v>
      </c>
      <c r="D510" s="44">
        <v>0</v>
      </c>
      <c r="E510" s="44">
        <v>1</v>
      </c>
      <c r="F510" s="44">
        <v>0</v>
      </c>
      <c r="G510" s="2"/>
      <c r="H510" s="44">
        <f t="shared" si="32"/>
        <v>1</v>
      </c>
    </row>
    <row r="511" spans="1:8" x14ac:dyDescent="0.45">
      <c r="A511" s="2" t="s">
        <v>52</v>
      </c>
      <c r="B511" s="44">
        <v>0</v>
      </c>
      <c r="C511" s="44">
        <v>0</v>
      </c>
      <c r="D511" s="44">
        <v>0</v>
      </c>
      <c r="E511" s="44">
        <v>0</v>
      </c>
      <c r="F511" s="44">
        <v>1</v>
      </c>
      <c r="G511" s="2"/>
      <c r="H511" s="44">
        <f t="shared" si="32"/>
        <v>1</v>
      </c>
    </row>
    <row r="512" spans="1:8" x14ac:dyDescent="0.45">
      <c r="A512" s="37" t="s">
        <v>24</v>
      </c>
      <c r="B512" s="44">
        <v>5</v>
      </c>
      <c r="C512" s="44">
        <v>110</v>
      </c>
      <c r="D512" s="44">
        <v>2126</v>
      </c>
      <c r="E512" s="44">
        <v>1447</v>
      </c>
      <c r="F512" s="44">
        <v>1147</v>
      </c>
      <c r="G512" s="17">
        <f>SUM(G492:G511)</f>
        <v>159</v>
      </c>
      <c r="H512" s="44">
        <f>SUM(H492:H511)</f>
        <v>4994</v>
      </c>
    </row>
    <row r="513" spans="1:8" x14ac:dyDescent="0.45">
      <c r="A513" s="2"/>
      <c r="B513" s="44"/>
      <c r="C513" s="44"/>
      <c r="D513" s="44"/>
      <c r="E513" s="44"/>
      <c r="F513" s="44"/>
      <c r="G513" s="44"/>
      <c r="H513" s="2"/>
    </row>
    <row r="514" spans="1:8" x14ac:dyDescent="0.45">
      <c r="A514" s="2"/>
      <c r="B514" s="2"/>
      <c r="C514" s="2"/>
      <c r="D514" s="2"/>
      <c r="E514" s="2"/>
      <c r="F514" s="2"/>
      <c r="G514" s="2"/>
      <c r="H514" s="2"/>
    </row>
    <row r="515" spans="1:8" x14ac:dyDescent="0.45">
      <c r="A515" s="37" t="s">
        <v>93</v>
      </c>
      <c r="B515" s="37"/>
      <c r="C515" s="37"/>
      <c r="D515" s="2"/>
      <c r="E515" s="2"/>
      <c r="F515" s="2"/>
      <c r="G515" s="2"/>
      <c r="H515" s="2"/>
    </row>
    <row r="516" spans="1:8" x14ac:dyDescent="0.45">
      <c r="A516" s="1" t="s">
        <v>113</v>
      </c>
      <c r="B516" s="2"/>
      <c r="C516" s="2"/>
      <c r="D516" s="2" t="s">
        <v>29</v>
      </c>
      <c r="E516" s="2"/>
      <c r="F516" s="2"/>
      <c r="G516" s="2"/>
      <c r="H516" s="2"/>
    </row>
    <row r="517" spans="1:8" x14ac:dyDescent="0.45">
      <c r="A517" s="2"/>
      <c r="B517" s="2"/>
      <c r="C517" s="2"/>
      <c r="D517" s="2"/>
      <c r="E517" s="2"/>
      <c r="F517" s="2"/>
      <c r="G517" s="2"/>
      <c r="H517" s="2"/>
    </row>
    <row r="518" spans="1:8" x14ac:dyDescent="0.45">
      <c r="A518" s="2"/>
      <c r="B518" s="2" t="s">
        <v>20</v>
      </c>
      <c r="C518" s="2"/>
      <c r="D518" s="2" t="s">
        <v>21</v>
      </c>
      <c r="E518" s="2"/>
      <c r="F518" s="2"/>
      <c r="G518" s="2"/>
      <c r="H518" s="2"/>
    </row>
    <row r="519" spans="1:8" x14ac:dyDescent="0.45">
      <c r="A519" s="6" t="s">
        <v>19</v>
      </c>
      <c r="B519" s="4">
        <v>25</v>
      </c>
      <c r="C519" s="4">
        <v>30</v>
      </c>
      <c r="D519" s="4">
        <v>5</v>
      </c>
      <c r="E519" s="4">
        <v>10</v>
      </c>
      <c r="F519" s="4">
        <v>15</v>
      </c>
      <c r="G519" s="4">
        <v>20</v>
      </c>
      <c r="H519" s="4" t="s">
        <v>24</v>
      </c>
    </row>
    <row r="520" spans="1:8" x14ac:dyDescent="0.45">
      <c r="A520" s="3" t="s">
        <v>1</v>
      </c>
      <c r="B520" s="86">
        <v>0</v>
      </c>
      <c r="C520" s="86">
        <v>3</v>
      </c>
      <c r="D520" s="86">
        <v>0</v>
      </c>
      <c r="E520" s="86">
        <v>5</v>
      </c>
      <c r="F520" s="86">
        <v>128</v>
      </c>
      <c r="G520" s="86">
        <v>54</v>
      </c>
      <c r="H520" s="86">
        <f>SUM(B520:G520)</f>
        <v>190</v>
      </c>
    </row>
    <row r="521" spans="1:8" x14ac:dyDescent="0.45">
      <c r="A521" s="3" t="s">
        <v>94</v>
      </c>
      <c r="B521" s="86">
        <v>0</v>
      </c>
      <c r="C521" s="86">
        <v>0</v>
      </c>
      <c r="D521" s="86">
        <v>0</v>
      </c>
      <c r="E521" s="86">
        <v>0</v>
      </c>
      <c r="F521" s="86">
        <v>0</v>
      </c>
      <c r="G521" s="86">
        <v>0</v>
      </c>
      <c r="H521" s="86">
        <f t="shared" ref="H521:H555" si="33">SUM(B521:G521)</f>
        <v>0</v>
      </c>
    </row>
    <row r="522" spans="1:8" x14ac:dyDescent="0.45">
      <c r="A522" s="3" t="s">
        <v>95</v>
      </c>
      <c r="B522" s="86">
        <v>0</v>
      </c>
      <c r="C522" s="86">
        <v>0</v>
      </c>
      <c r="D522" s="86">
        <v>0</v>
      </c>
      <c r="E522" s="86">
        <v>0</v>
      </c>
      <c r="F522" s="86">
        <v>0</v>
      </c>
      <c r="G522" s="86">
        <v>0</v>
      </c>
      <c r="H522" s="86">
        <f t="shared" si="33"/>
        <v>0</v>
      </c>
    </row>
    <row r="523" spans="1:8" x14ac:dyDescent="0.45">
      <c r="A523" s="3" t="s">
        <v>96</v>
      </c>
      <c r="B523" s="86">
        <v>25</v>
      </c>
      <c r="C523" s="86">
        <v>5</v>
      </c>
      <c r="D523" s="86">
        <v>7</v>
      </c>
      <c r="E523" s="86">
        <v>0</v>
      </c>
      <c r="F523" s="86">
        <v>0</v>
      </c>
      <c r="G523" s="86">
        <v>2</v>
      </c>
      <c r="H523" s="86">
        <f t="shared" si="33"/>
        <v>39</v>
      </c>
    </row>
    <row r="524" spans="1:8" x14ac:dyDescent="0.45">
      <c r="A524" s="3" t="s">
        <v>2</v>
      </c>
      <c r="B524" s="86">
        <v>14</v>
      </c>
      <c r="C524" s="86">
        <v>134</v>
      </c>
      <c r="D524" s="86">
        <v>137</v>
      </c>
      <c r="E524" s="86">
        <v>3</v>
      </c>
      <c r="F524" s="86">
        <v>8</v>
      </c>
      <c r="G524" s="86">
        <v>13</v>
      </c>
      <c r="H524" s="86">
        <f t="shared" si="33"/>
        <v>309</v>
      </c>
    </row>
    <row r="525" spans="1:8" x14ac:dyDescent="0.45">
      <c r="A525" s="3" t="s">
        <v>97</v>
      </c>
      <c r="B525" s="86">
        <v>0</v>
      </c>
      <c r="C525" s="86">
        <v>2</v>
      </c>
      <c r="D525" s="86">
        <v>2</v>
      </c>
      <c r="E525" s="86">
        <v>0</v>
      </c>
      <c r="F525" s="86">
        <v>2</v>
      </c>
      <c r="G525" s="86">
        <v>1</v>
      </c>
      <c r="H525" s="86">
        <f t="shared" si="33"/>
        <v>7</v>
      </c>
    </row>
    <row r="526" spans="1:8" x14ac:dyDescent="0.45">
      <c r="A526" s="3" t="s">
        <v>3</v>
      </c>
      <c r="B526" s="86">
        <v>3</v>
      </c>
      <c r="C526" s="86">
        <v>14</v>
      </c>
      <c r="D526" s="86">
        <v>5</v>
      </c>
      <c r="E526" s="86">
        <v>1</v>
      </c>
      <c r="F526" s="86">
        <v>3</v>
      </c>
      <c r="G526" s="86">
        <v>4</v>
      </c>
      <c r="H526" s="86">
        <f t="shared" si="33"/>
        <v>30</v>
      </c>
    </row>
    <row r="527" spans="1:8" x14ac:dyDescent="0.45">
      <c r="A527" s="3" t="s">
        <v>4</v>
      </c>
      <c r="B527" s="86">
        <v>0</v>
      </c>
      <c r="C527" s="86">
        <v>14</v>
      </c>
      <c r="D527" s="86">
        <v>4</v>
      </c>
      <c r="E527" s="86">
        <v>2</v>
      </c>
      <c r="F527" s="86">
        <v>0</v>
      </c>
      <c r="G527" s="86">
        <v>1</v>
      </c>
      <c r="H527" s="86">
        <f t="shared" si="33"/>
        <v>21</v>
      </c>
    </row>
    <row r="528" spans="1:8" x14ac:dyDescent="0.45">
      <c r="A528" s="3" t="s">
        <v>5</v>
      </c>
      <c r="B528" s="86">
        <v>0</v>
      </c>
      <c r="C528" s="86">
        <v>3</v>
      </c>
      <c r="D528" s="86">
        <v>0</v>
      </c>
      <c r="E528" s="86">
        <v>0</v>
      </c>
      <c r="F528" s="86">
        <v>0</v>
      </c>
      <c r="G528" s="86">
        <v>5</v>
      </c>
      <c r="H528" s="86">
        <f t="shared" si="33"/>
        <v>8</v>
      </c>
    </row>
    <row r="529" spans="1:8" x14ac:dyDescent="0.45">
      <c r="A529" s="3" t="s">
        <v>6</v>
      </c>
      <c r="B529" s="86">
        <v>0</v>
      </c>
      <c r="C529" s="86">
        <v>0</v>
      </c>
      <c r="D529" s="86">
        <v>0</v>
      </c>
      <c r="E529" s="86">
        <v>0</v>
      </c>
      <c r="F529" s="86">
        <v>0</v>
      </c>
      <c r="G529" s="86">
        <v>0</v>
      </c>
      <c r="H529" s="86">
        <f t="shared" si="33"/>
        <v>0</v>
      </c>
    </row>
    <row r="530" spans="1:8" x14ac:dyDescent="0.45">
      <c r="A530" s="3" t="s">
        <v>7</v>
      </c>
      <c r="B530" s="86">
        <v>0</v>
      </c>
      <c r="C530" s="86">
        <v>0</v>
      </c>
      <c r="D530" s="86">
        <v>2</v>
      </c>
      <c r="E530" s="86">
        <v>1</v>
      </c>
      <c r="F530" s="86">
        <v>1</v>
      </c>
      <c r="G530" s="86">
        <v>5</v>
      </c>
      <c r="H530" s="86">
        <f t="shared" si="33"/>
        <v>9</v>
      </c>
    </row>
    <row r="531" spans="1:8" x14ac:dyDescent="0.45">
      <c r="A531" s="3" t="s">
        <v>98</v>
      </c>
      <c r="B531" s="86">
        <v>0</v>
      </c>
      <c r="C531" s="86">
        <v>0</v>
      </c>
      <c r="D531" s="86">
        <v>0</v>
      </c>
      <c r="E531" s="86">
        <v>0</v>
      </c>
      <c r="F531" s="86">
        <v>0</v>
      </c>
      <c r="G531" s="86">
        <v>0</v>
      </c>
      <c r="H531" s="86">
        <f t="shared" si="33"/>
        <v>0</v>
      </c>
    </row>
    <row r="532" spans="1:8" x14ac:dyDescent="0.45">
      <c r="A532" s="3" t="s">
        <v>99</v>
      </c>
      <c r="B532" s="86">
        <v>0</v>
      </c>
      <c r="C532" s="86">
        <v>0</v>
      </c>
      <c r="D532" s="86">
        <v>0</v>
      </c>
      <c r="E532" s="86">
        <v>0</v>
      </c>
      <c r="F532" s="86">
        <v>0</v>
      </c>
      <c r="G532" s="86">
        <v>0</v>
      </c>
      <c r="H532" s="86">
        <f t="shared" si="33"/>
        <v>0</v>
      </c>
    </row>
    <row r="533" spans="1:8" x14ac:dyDescent="0.45">
      <c r="A533" s="3" t="s">
        <v>100</v>
      </c>
      <c r="B533" s="86">
        <v>0</v>
      </c>
      <c r="C533" s="86">
        <v>0</v>
      </c>
      <c r="D533" s="86">
        <v>0</v>
      </c>
      <c r="E533" s="86">
        <v>1</v>
      </c>
      <c r="F533" s="86">
        <v>0</v>
      </c>
      <c r="G533" s="86">
        <v>11</v>
      </c>
      <c r="H533" s="86">
        <f t="shared" si="33"/>
        <v>12</v>
      </c>
    </row>
    <row r="534" spans="1:8" x14ac:dyDescent="0.45">
      <c r="A534" s="3" t="s">
        <v>8</v>
      </c>
      <c r="B534" s="86">
        <v>0</v>
      </c>
      <c r="C534" s="86">
        <v>0</v>
      </c>
      <c r="D534" s="86">
        <v>3</v>
      </c>
      <c r="E534" s="86">
        <v>4</v>
      </c>
      <c r="F534" s="86">
        <v>26</v>
      </c>
      <c r="G534" s="86">
        <v>17</v>
      </c>
      <c r="H534" s="86">
        <f t="shared" si="33"/>
        <v>50</v>
      </c>
    </row>
    <row r="535" spans="1:8" x14ac:dyDescent="0.45">
      <c r="A535" s="3" t="s">
        <v>9</v>
      </c>
      <c r="B535" s="86">
        <v>0</v>
      </c>
      <c r="C535" s="86">
        <v>22</v>
      </c>
      <c r="D535" s="86">
        <v>31</v>
      </c>
      <c r="E535" s="86">
        <v>8</v>
      </c>
      <c r="F535" s="86">
        <v>2</v>
      </c>
      <c r="G535" s="86">
        <v>33</v>
      </c>
      <c r="H535" s="86">
        <f t="shared" si="33"/>
        <v>96</v>
      </c>
    </row>
    <row r="536" spans="1:8" x14ac:dyDescent="0.45">
      <c r="A536" s="3" t="s">
        <v>101</v>
      </c>
      <c r="B536" s="86">
        <v>0</v>
      </c>
      <c r="C536" s="86">
        <v>0</v>
      </c>
      <c r="D536" s="86">
        <v>3</v>
      </c>
      <c r="E536" s="86">
        <v>0</v>
      </c>
      <c r="F536" s="86">
        <v>3</v>
      </c>
      <c r="G536" s="86">
        <v>1</v>
      </c>
      <c r="H536" s="86">
        <f t="shared" si="33"/>
        <v>7</v>
      </c>
    </row>
    <row r="537" spans="1:8" x14ac:dyDescent="0.45">
      <c r="A537" s="3" t="s">
        <v>10</v>
      </c>
      <c r="B537" s="86">
        <v>0</v>
      </c>
      <c r="C537" s="86">
        <v>0</v>
      </c>
      <c r="D537" s="86">
        <v>14</v>
      </c>
      <c r="E537" s="86">
        <v>110</v>
      </c>
      <c r="F537" s="86">
        <v>228</v>
      </c>
      <c r="G537" s="86">
        <v>20</v>
      </c>
      <c r="H537" s="86">
        <f t="shared" si="33"/>
        <v>372</v>
      </c>
    </row>
    <row r="538" spans="1:8" x14ac:dyDescent="0.45">
      <c r="A538" s="3" t="s">
        <v>11</v>
      </c>
      <c r="B538" s="86">
        <v>7</v>
      </c>
      <c r="C538" s="86">
        <v>100</v>
      </c>
      <c r="D538" s="86">
        <v>500</v>
      </c>
      <c r="E538" s="86">
        <v>142</v>
      </c>
      <c r="F538" s="86">
        <v>3880</v>
      </c>
      <c r="G538" s="86">
        <v>367</v>
      </c>
      <c r="H538" s="86">
        <f t="shared" si="33"/>
        <v>4996</v>
      </c>
    </row>
    <row r="539" spans="1:8" x14ac:dyDescent="0.45">
      <c r="A539" s="3" t="s">
        <v>12</v>
      </c>
      <c r="B539" s="86">
        <v>0</v>
      </c>
      <c r="C539" s="86">
        <v>0</v>
      </c>
      <c r="D539" s="86">
        <v>0</v>
      </c>
      <c r="E539" s="86">
        <v>2</v>
      </c>
      <c r="F539" s="86">
        <v>97</v>
      </c>
      <c r="G539" s="86">
        <v>146</v>
      </c>
      <c r="H539" s="86">
        <f t="shared" si="33"/>
        <v>245</v>
      </c>
    </row>
    <row r="540" spans="1:8" x14ac:dyDescent="0.45">
      <c r="A540" s="3" t="s">
        <v>32</v>
      </c>
      <c r="B540" s="86">
        <v>0</v>
      </c>
      <c r="C540" s="86">
        <v>0</v>
      </c>
      <c r="D540" s="86">
        <v>3</v>
      </c>
      <c r="E540" s="86">
        <v>0</v>
      </c>
      <c r="F540" s="86">
        <v>2</v>
      </c>
      <c r="G540" s="86">
        <v>0</v>
      </c>
      <c r="H540" s="86">
        <f t="shared" si="33"/>
        <v>5</v>
      </c>
    </row>
    <row r="541" spans="1:8" x14ac:dyDescent="0.45">
      <c r="A541" s="3" t="s">
        <v>18</v>
      </c>
      <c r="B541" s="86">
        <v>15</v>
      </c>
      <c r="C541" s="86">
        <v>298</v>
      </c>
      <c r="D541" s="86">
        <v>92</v>
      </c>
      <c r="E541" s="86">
        <v>0</v>
      </c>
      <c r="F541" s="86">
        <v>54</v>
      </c>
      <c r="G541" s="86">
        <v>332</v>
      </c>
      <c r="H541" s="86">
        <f t="shared" si="33"/>
        <v>791</v>
      </c>
    </row>
    <row r="542" spans="1:8" x14ac:dyDescent="0.45">
      <c r="A542" s="3" t="s">
        <v>102</v>
      </c>
      <c r="B542" s="86">
        <v>0</v>
      </c>
      <c r="C542" s="86">
        <v>0</v>
      </c>
      <c r="D542" s="86">
        <v>0</v>
      </c>
      <c r="E542" s="86">
        <v>0</v>
      </c>
      <c r="F542" s="86">
        <v>0</v>
      </c>
      <c r="G542" s="86">
        <v>1</v>
      </c>
      <c r="H542" s="86">
        <f t="shared" si="33"/>
        <v>1</v>
      </c>
    </row>
    <row r="543" spans="1:8" x14ac:dyDescent="0.45">
      <c r="A543" s="3" t="s">
        <v>13</v>
      </c>
      <c r="B543" s="86">
        <v>0</v>
      </c>
      <c r="C543" s="86">
        <v>0</v>
      </c>
      <c r="D543" s="86">
        <v>0</v>
      </c>
      <c r="E543" s="86">
        <v>0</v>
      </c>
      <c r="F543" s="86">
        <v>0</v>
      </c>
      <c r="G543" s="86">
        <v>7</v>
      </c>
      <c r="H543" s="86">
        <f t="shared" si="33"/>
        <v>7</v>
      </c>
    </row>
    <row r="544" spans="1:8" x14ac:dyDescent="0.45">
      <c r="A544" s="3" t="s">
        <v>14</v>
      </c>
      <c r="B544" s="86">
        <v>32</v>
      </c>
      <c r="C544" s="86">
        <v>116</v>
      </c>
      <c r="D544" s="86">
        <v>101</v>
      </c>
      <c r="E544" s="86">
        <v>59</v>
      </c>
      <c r="F544" s="86">
        <v>192</v>
      </c>
      <c r="G544" s="86">
        <v>56</v>
      </c>
      <c r="H544" s="86">
        <f t="shared" si="33"/>
        <v>556</v>
      </c>
    </row>
    <row r="545" spans="1:8" x14ac:dyDescent="0.45">
      <c r="A545" s="3" t="s">
        <v>103</v>
      </c>
      <c r="B545" s="86">
        <v>0</v>
      </c>
      <c r="C545" s="86">
        <v>0</v>
      </c>
      <c r="D545" s="86">
        <v>0</v>
      </c>
      <c r="E545" s="86">
        <v>5</v>
      </c>
      <c r="F545" s="86">
        <v>0</v>
      </c>
      <c r="G545" s="86">
        <v>0</v>
      </c>
      <c r="H545" s="86">
        <f t="shared" si="33"/>
        <v>5</v>
      </c>
    </row>
    <row r="546" spans="1:8" x14ac:dyDescent="0.45">
      <c r="A546" s="3" t="s">
        <v>104</v>
      </c>
      <c r="B546" s="86">
        <v>0</v>
      </c>
      <c r="C546" s="86">
        <v>0</v>
      </c>
      <c r="D546" s="86">
        <v>0</v>
      </c>
      <c r="E546" s="86">
        <v>0</v>
      </c>
      <c r="F546" s="86">
        <v>0</v>
      </c>
      <c r="G546" s="86">
        <v>0</v>
      </c>
      <c r="H546" s="86">
        <f t="shared" si="33"/>
        <v>0</v>
      </c>
    </row>
    <row r="547" spans="1:8" x14ac:dyDescent="0.45">
      <c r="A547" s="3" t="s">
        <v>105</v>
      </c>
      <c r="B547" s="86">
        <v>0</v>
      </c>
      <c r="C547" s="86">
        <v>0</v>
      </c>
      <c r="D547" s="86">
        <v>0</v>
      </c>
      <c r="E547" s="86">
        <v>0</v>
      </c>
      <c r="F547" s="86">
        <v>0</v>
      </c>
      <c r="G547" s="86">
        <v>0</v>
      </c>
      <c r="H547" s="86">
        <f t="shared" si="33"/>
        <v>0</v>
      </c>
    </row>
    <row r="548" spans="1:8" x14ac:dyDescent="0.45">
      <c r="A548" s="3" t="s">
        <v>15</v>
      </c>
      <c r="B548" s="86">
        <v>0</v>
      </c>
      <c r="C548" s="86">
        <v>0</v>
      </c>
      <c r="D548" s="86">
        <v>0</v>
      </c>
      <c r="E548" s="86">
        <v>0</v>
      </c>
      <c r="F548" s="86">
        <v>0</v>
      </c>
      <c r="G548" s="86">
        <v>0</v>
      </c>
      <c r="H548" s="86">
        <f t="shared" si="33"/>
        <v>0</v>
      </c>
    </row>
    <row r="549" spans="1:8" x14ac:dyDescent="0.45">
      <c r="A549" s="3" t="s">
        <v>106</v>
      </c>
      <c r="B549" s="86">
        <v>0</v>
      </c>
      <c r="C549" s="86">
        <v>0</v>
      </c>
      <c r="D549" s="86">
        <v>0</v>
      </c>
      <c r="E549" s="86">
        <v>0</v>
      </c>
      <c r="F549" s="86">
        <v>0</v>
      </c>
      <c r="G549" s="86">
        <v>0</v>
      </c>
      <c r="H549" s="86">
        <f t="shared" si="33"/>
        <v>0</v>
      </c>
    </row>
    <row r="550" spans="1:8" x14ac:dyDescent="0.45">
      <c r="A550" s="3" t="s">
        <v>74</v>
      </c>
      <c r="B550" s="86">
        <v>0</v>
      </c>
      <c r="C550" s="86">
        <v>12</v>
      </c>
      <c r="D550" s="86">
        <v>3</v>
      </c>
      <c r="E550" s="86">
        <v>5</v>
      </c>
      <c r="F550" s="86">
        <v>31</v>
      </c>
      <c r="G550" s="86">
        <v>31</v>
      </c>
      <c r="H550" s="86">
        <f t="shared" si="33"/>
        <v>82</v>
      </c>
    </row>
    <row r="551" spans="1:8" x14ac:dyDescent="0.45">
      <c r="A551" s="3" t="s">
        <v>16</v>
      </c>
      <c r="B551" s="86">
        <v>0</v>
      </c>
      <c r="C551" s="86">
        <v>3</v>
      </c>
      <c r="D551" s="86">
        <v>1</v>
      </c>
      <c r="E551" s="86">
        <v>0</v>
      </c>
      <c r="F551" s="86">
        <v>0</v>
      </c>
      <c r="G551" s="86">
        <v>1</v>
      </c>
      <c r="H551" s="86">
        <f t="shared" si="33"/>
        <v>5</v>
      </c>
    </row>
    <row r="552" spans="1:8" x14ac:dyDescent="0.45">
      <c r="A552" s="3" t="s">
        <v>107</v>
      </c>
      <c r="B552" s="86">
        <v>0</v>
      </c>
      <c r="C552" s="86">
        <v>0</v>
      </c>
      <c r="D552" s="86">
        <v>0</v>
      </c>
      <c r="E552" s="86">
        <v>0</v>
      </c>
      <c r="F552" s="86">
        <v>0</v>
      </c>
      <c r="G552" s="86">
        <v>0</v>
      </c>
      <c r="H552" s="86">
        <f t="shared" si="33"/>
        <v>0</v>
      </c>
    </row>
    <row r="553" spans="1:8" x14ac:dyDescent="0.45">
      <c r="A553" s="3" t="s">
        <v>17</v>
      </c>
      <c r="B553" s="86">
        <v>0</v>
      </c>
      <c r="C553" s="86">
        <v>0</v>
      </c>
      <c r="D553" s="86">
        <v>300</v>
      </c>
      <c r="E553" s="86">
        <v>1000</v>
      </c>
      <c r="F553" s="86">
        <v>100</v>
      </c>
      <c r="G553" s="86">
        <v>100</v>
      </c>
      <c r="H553" s="86">
        <f t="shared" si="33"/>
        <v>1500</v>
      </c>
    </row>
    <row r="554" spans="1:8" x14ac:dyDescent="0.45">
      <c r="A554" s="3" t="s">
        <v>23</v>
      </c>
      <c r="B554" s="86">
        <v>0</v>
      </c>
      <c r="C554" s="86">
        <v>0</v>
      </c>
      <c r="D554" s="86">
        <v>0</v>
      </c>
      <c r="E554" s="86">
        <v>0</v>
      </c>
      <c r="F554" s="86">
        <v>0</v>
      </c>
      <c r="G554" s="86">
        <v>0</v>
      </c>
      <c r="H554" s="86">
        <f t="shared" si="33"/>
        <v>0</v>
      </c>
    </row>
    <row r="555" spans="1:8" x14ac:dyDescent="0.45">
      <c r="A555" s="3" t="s">
        <v>24</v>
      </c>
      <c r="B555" s="86">
        <v>96</v>
      </c>
      <c r="C555" s="86">
        <v>726</v>
      </c>
      <c r="D555" s="86">
        <v>1208</v>
      </c>
      <c r="E555" s="86">
        <v>1348</v>
      </c>
      <c r="F555" s="86">
        <v>4757</v>
      </c>
      <c r="G555" s="86">
        <v>1208</v>
      </c>
      <c r="H555" s="86">
        <f t="shared" si="33"/>
        <v>9343</v>
      </c>
    </row>
    <row r="558" spans="1:8" x14ac:dyDescent="0.45">
      <c r="A558" s="37" t="s">
        <v>93</v>
      </c>
      <c r="B558" s="37"/>
      <c r="C558" s="37"/>
    </row>
    <row r="559" spans="1:8" x14ac:dyDescent="0.45">
      <c r="A559" s="1" t="s">
        <v>114</v>
      </c>
      <c r="B559" s="1"/>
      <c r="C559" s="1"/>
      <c r="D559" s="1"/>
    </row>
    <row r="561" spans="1:8" x14ac:dyDescent="0.45">
      <c r="A561" s="1"/>
      <c r="B561" s="1" t="s">
        <v>20</v>
      </c>
      <c r="C561" s="1"/>
      <c r="D561" s="1" t="s">
        <v>21</v>
      </c>
      <c r="E561" s="1"/>
      <c r="F561" s="1"/>
      <c r="G561" s="1"/>
      <c r="H561" s="1"/>
    </row>
    <row r="562" spans="1:8" x14ac:dyDescent="0.45">
      <c r="A562" s="6" t="s">
        <v>19</v>
      </c>
      <c r="B562" s="4">
        <v>25</v>
      </c>
      <c r="C562" s="4">
        <v>30</v>
      </c>
      <c r="D562" s="4">
        <v>5</v>
      </c>
      <c r="E562" s="4">
        <v>10</v>
      </c>
      <c r="F562" s="4">
        <v>15</v>
      </c>
      <c r="G562" s="4">
        <v>20</v>
      </c>
      <c r="H562" s="4" t="s">
        <v>24</v>
      </c>
    </row>
    <row r="563" spans="1:8" x14ac:dyDescent="0.45">
      <c r="A563" s="3" t="s">
        <v>1</v>
      </c>
      <c r="B563" s="86">
        <v>0</v>
      </c>
      <c r="C563" s="86">
        <v>3</v>
      </c>
      <c r="D563" s="86">
        <v>0</v>
      </c>
      <c r="E563" s="86">
        <v>5</v>
      </c>
      <c r="F563" s="86">
        <v>96</v>
      </c>
      <c r="G563" s="86">
        <v>54</v>
      </c>
      <c r="H563" s="86">
        <v>158</v>
      </c>
    </row>
    <row r="564" spans="1:8" x14ac:dyDescent="0.45">
      <c r="A564" s="3" t="s">
        <v>49</v>
      </c>
      <c r="B564" s="86">
        <v>0</v>
      </c>
      <c r="C564" s="86">
        <v>0</v>
      </c>
      <c r="D564" s="86">
        <v>0</v>
      </c>
      <c r="E564" s="86">
        <v>0</v>
      </c>
      <c r="F564" s="86">
        <v>0</v>
      </c>
      <c r="G564" s="86">
        <v>0</v>
      </c>
      <c r="H564" s="86">
        <v>0</v>
      </c>
    </row>
    <row r="565" spans="1:8" x14ac:dyDescent="0.45">
      <c r="A565" s="3" t="s">
        <v>45</v>
      </c>
      <c r="B565" s="86">
        <v>0</v>
      </c>
      <c r="C565" s="86">
        <v>0</v>
      </c>
      <c r="D565" s="86">
        <v>0</v>
      </c>
      <c r="E565" s="86">
        <v>0</v>
      </c>
      <c r="F565" s="86">
        <v>0</v>
      </c>
      <c r="G565" s="86">
        <v>0</v>
      </c>
      <c r="H565" s="86">
        <v>0</v>
      </c>
    </row>
    <row r="566" spans="1:8" x14ac:dyDescent="0.45">
      <c r="A566" s="3" t="s">
        <v>41</v>
      </c>
      <c r="B566" s="86">
        <v>25</v>
      </c>
      <c r="C566" s="86">
        <v>5</v>
      </c>
      <c r="D566" s="86">
        <v>7</v>
      </c>
      <c r="E566" s="86">
        <v>0</v>
      </c>
      <c r="F566" s="86">
        <v>0</v>
      </c>
      <c r="G566" s="86">
        <v>2</v>
      </c>
      <c r="H566" s="86">
        <v>39</v>
      </c>
    </row>
    <row r="567" spans="1:8" x14ac:dyDescent="0.45">
      <c r="A567" s="3" t="s">
        <v>2</v>
      </c>
      <c r="B567" s="86">
        <v>14</v>
      </c>
      <c r="C567" s="86">
        <v>134</v>
      </c>
      <c r="D567" s="86">
        <v>135</v>
      </c>
      <c r="E567" s="86">
        <v>3</v>
      </c>
      <c r="F567" s="86">
        <v>8</v>
      </c>
      <c r="G567" s="86">
        <v>13</v>
      </c>
      <c r="H567" s="86">
        <v>307</v>
      </c>
    </row>
    <row r="568" spans="1:8" x14ac:dyDescent="0.45">
      <c r="A568" s="3" t="s">
        <v>43</v>
      </c>
      <c r="B568" s="86">
        <v>0</v>
      </c>
      <c r="C568" s="86">
        <v>0</v>
      </c>
      <c r="D568" s="86">
        <v>0</v>
      </c>
      <c r="E568" s="86">
        <v>0</v>
      </c>
      <c r="F568" s="86">
        <v>0</v>
      </c>
      <c r="G568" s="86">
        <v>1</v>
      </c>
      <c r="H568" s="86">
        <v>1</v>
      </c>
    </row>
    <row r="569" spans="1:8" x14ac:dyDescent="0.45">
      <c r="A569" s="3" t="s">
        <v>3</v>
      </c>
      <c r="B569" s="86">
        <v>0</v>
      </c>
      <c r="C569" s="86">
        <v>7</v>
      </c>
      <c r="D569" s="86">
        <v>0</v>
      </c>
      <c r="E569" s="86">
        <v>1</v>
      </c>
      <c r="F569" s="86">
        <v>1</v>
      </c>
      <c r="G569" s="86">
        <v>4</v>
      </c>
      <c r="H569" s="86">
        <v>13</v>
      </c>
    </row>
    <row r="570" spans="1:8" x14ac:dyDescent="0.45">
      <c r="A570" s="3" t="s">
        <v>4</v>
      </c>
      <c r="B570" s="86">
        <v>0</v>
      </c>
      <c r="C570" s="86">
        <v>14</v>
      </c>
      <c r="D570" s="86">
        <v>3</v>
      </c>
      <c r="E570" s="86">
        <v>2</v>
      </c>
      <c r="F570" s="86">
        <v>0</v>
      </c>
      <c r="G570" s="86">
        <v>1</v>
      </c>
      <c r="H570" s="86">
        <v>20</v>
      </c>
    </row>
    <row r="571" spans="1:8" x14ac:dyDescent="0.45">
      <c r="A571" s="3" t="s">
        <v>48</v>
      </c>
      <c r="B571" s="86">
        <v>0</v>
      </c>
      <c r="C571" s="86">
        <v>3</v>
      </c>
      <c r="D571" s="86">
        <v>0</v>
      </c>
      <c r="E571" s="86">
        <v>0</v>
      </c>
      <c r="F571" s="86">
        <v>0</v>
      </c>
      <c r="G571" s="86">
        <v>0</v>
      </c>
      <c r="H571" s="86">
        <v>3</v>
      </c>
    </row>
    <row r="572" spans="1:8" x14ac:dyDescent="0.45">
      <c r="A572" s="3" t="s">
        <v>6</v>
      </c>
      <c r="B572" s="86">
        <v>0</v>
      </c>
      <c r="C572" s="86">
        <v>0</v>
      </c>
      <c r="D572" s="86">
        <v>0</v>
      </c>
      <c r="E572" s="86">
        <v>0</v>
      </c>
      <c r="F572" s="86">
        <v>0</v>
      </c>
      <c r="G572" s="86">
        <v>0</v>
      </c>
      <c r="H572" s="86">
        <v>0</v>
      </c>
    </row>
    <row r="573" spans="1:8" x14ac:dyDescent="0.45">
      <c r="A573" s="3" t="s">
        <v>7</v>
      </c>
      <c r="B573" s="86">
        <v>0</v>
      </c>
      <c r="C573" s="86">
        <v>0</v>
      </c>
      <c r="D573" s="86">
        <v>1</v>
      </c>
      <c r="E573" s="86">
        <v>1</v>
      </c>
      <c r="F573" s="86">
        <v>1</v>
      </c>
      <c r="G573" s="86">
        <v>3</v>
      </c>
      <c r="H573" s="86">
        <v>6</v>
      </c>
    </row>
    <row r="574" spans="1:8" x14ac:dyDescent="0.45">
      <c r="A574" s="3" t="s">
        <v>50</v>
      </c>
      <c r="B574" s="86">
        <v>0</v>
      </c>
      <c r="C574" s="86">
        <v>0</v>
      </c>
      <c r="D574" s="86">
        <v>0</v>
      </c>
      <c r="E574" s="86">
        <v>0</v>
      </c>
      <c r="F574" s="86">
        <v>0</v>
      </c>
      <c r="G574" s="86">
        <v>0</v>
      </c>
      <c r="H574" s="86">
        <v>0</v>
      </c>
    </row>
    <row r="575" spans="1:8" x14ac:dyDescent="0.45">
      <c r="A575" s="3" t="s">
        <v>51</v>
      </c>
      <c r="B575" s="86">
        <v>0</v>
      </c>
      <c r="C575" s="86">
        <v>0</v>
      </c>
      <c r="D575" s="86">
        <v>0</v>
      </c>
      <c r="E575" s="86">
        <v>0</v>
      </c>
      <c r="F575" s="86">
        <v>0</v>
      </c>
      <c r="G575" s="86">
        <v>0</v>
      </c>
      <c r="H575" s="86">
        <v>0</v>
      </c>
    </row>
    <row r="576" spans="1:8" x14ac:dyDescent="0.45">
      <c r="A576" s="3" t="s">
        <v>42</v>
      </c>
      <c r="B576" s="86">
        <v>0</v>
      </c>
      <c r="C576" s="86">
        <v>0</v>
      </c>
      <c r="D576" s="86">
        <v>0</v>
      </c>
      <c r="E576" s="86">
        <v>1</v>
      </c>
      <c r="F576" s="86">
        <v>0</v>
      </c>
      <c r="G576" s="86">
        <v>9</v>
      </c>
      <c r="H576" s="86">
        <v>10</v>
      </c>
    </row>
    <row r="577" spans="1:8" x14ac:dyDescent="0.45">
      <c r="A577" s="3" t="s">
        <v>8</v>
      </c>
      <c r="B577" s="86">
        <v>0</v>
      </c>
      <c r="C577" s="86">
        <v>0</v>
      </c>
      <c r="D577" s="86">
        <v>0</v>
      </c>
      <c r="E577" s="86">
        <v>2</v>
      </c>
      <c r="F577" s="86">
        <v>24</v>
      </c>
      <c r="G577" s="86">
        <v>11</v>
      </c>
      <c r="H577" s="86">
        <v>37</v>
      </c>
    </row>
    <row r="578" spans="1:8" x14ac:dyDescent="0.45">
      <c r="A578" s="3" t="s">
        <v>9</v>
      </c>
      <c r="B578" s="86">
        <v>0</v>
      </c>
      <c r="C578" s="86">
        <v>22</v>
      </c>
      <c r="D578" s="86">
        <v>1</v>
      </c>
      <c r="E578" s="86">
        <v>1</v>
      </c>
      <c r="F578" s="86">
        <v>2</v>
      </c>
      <c r="G578" s="86">
        <v>13</v>
      </c>
      <c r="H578" s="86">
        <v>39</v>
      </c>
    </row>
    <row r="579" spans="1:8" x14ac:dyDescent="0.45">
      <c r="A579" s="3" t="s">
        <v>44</v>
      </c>
      <c r="B579" s="86">
        <v>0</v>
      </c>
      <c r="C579" s="86">
        <v>0</v>
      </c>
      <c r="D579" s="86">
        <v>3</v>
      </c>
      <c r="E579" s="86">
        <v>0</v>
      </c>
      <c r="F579" s="86">
        <v>3</v>
      </c>
      <c r="G579" s="86">
        <v>0</v>
      </c>
      <c r="H579" s="86">
        <v>6</v>
      </c>
    </row>
    <row r="580" spans="1:8" x14ac:dyDescent="0.45">
      <c r="A580" s="3" t="s">
        <v>10</v>
      </c>
      <c r="B580" s="86">
        <v>0</v>
      </c>
      <c r="C580" s="86">
        <v>0</v>
      </c>
      <c r="D580" s="86">
        <v>0</v>
      </c>
      <c r="E580" s="86">
        <v>66</v>
      </c>
      <c r="F580" s="86">
        <v>228</v>
      </c>
      <c r="G580" s="86">
        <v>0</v>
      </c>
      <c r="H580" s="86">
        <v>294</v>
      </c>
    </row>
    <row r="581" spans="1:8" x14ac:dyDescent="0.45">
      <c r="A581" s="3" t="s">
        <v>11</v>
      </c>
      <c r="B581" s="86">
        <v>7</v>
      </c>
      <c r="C581" s="86">
        <v>100</v>
      </c>
      <c r="D581" s="86">
        <v>500</v>
      </c>
      <c r="E581" s="86">
        <v>111</v>
      </c>
      <c r="F581" s="86">
        <v>3850</v>
      </c>
      <c r="G581" s="86">
        <v>367</v>
      </c>
      <c r="H581" s="86">
        <v>4935</v>
      </c>
    </row>
    <row r="582" spans="1:8" x14ac:dyDescent="0.45">
      <c r="A582" s="3" t="s">
        <v>12</v>
      </c>
      <c r="B582" s="86">
        <v>0</v>
      </c>
      <c r="C582" s="86">
        <v>0</v>
      </c>
      <c r="D582" s="86">
        <v>0</v>
      </c>
      <c r="E582" s="86">
        <v>2</v>
      </c>
      <c r="F582" s="86">
        <v>47</v>
      </c>
      <c r="G582" s="86">
        <v>146</v>
      </c>
      <c r="H582" s="86">
        <v>195</v>
      </c>
    </row>
    <row r="583" spans="1:8" x14ac:dyDescent="0.45">
      <c r="A583" s="3" t="s">
        <v>32</v>
      </c>
      <c r="B583" s="86">
        <v>0</v>
      </c>
      <c r="C583" s="86">
        <v>0</v>
      </c>
      <c r="D583" s="86">
        <v>2</v>
      </c>
      <c r="E583" s="86">
        <v>0</v>
      </c>
      <c r="F583" s="86">
        <v>2</v>
      </c>
      <c r="G583" s="86">
        <v>0</v>
      </c>
      <c r="H583" s="86">
        <v>4</v>
      </c>
    </row>
    <row r="584" spans="1:8" x14ac:dyDescent="0.45">
      <c r="A584" s="3" t="s">
        <v>18</v>
      </c>
      <c r="B584" s="86">
        <v>7</v>
      </c>
      <c r="C584" s="86">
        <v>255</v>
      </c>
      <c r="D584" s="86">
        <v>42</v>
      </c>
      <c r="E584" s="86">
        <v>0</v>
      </c>
      <c r="F584" s="86">
        <v>4</v>
      </c>
      <c r="G584" s="86">
        <v>332</v>
      </c>
      <c r="H584" s="86">
        <v>640</v>
      </c>
    </row>
    <row r="585" spans="1:8" x14ac:dyDescent="0.45">
      <c r="A585" s="3" t="s">
        <v>46</v>
      </c>
      <c r="B585" s="86">
        <v>0</v>
      </c>
      <c r="C585" s="86">
        <v>0</v>
      </c>
      <c r="D585" s="86">
        <v>0</v>
      </c>
      <c r="E585" s="86">
        <v>0</v>
      </c>
      <c r="F585" s="86">
        <v>0</v>
      </c>
      <c r="G585" s="86">
        <v>1</v>
      </c>
      <c r="H585" s="86">
        <v>1</v>
      </c>
    </row>
    <row r="586" spans="1:8" x14ac:dyDescent="0.45">
      <c r="A586" s="3" t="s">
        <v>13</v>
      </c>
      <c r="B586" s="86">
        <v>0</v>
      </c>
      <c r="C586" s="86">
        <v>0</v>
      </c>
      <c r="D586" s="86">
        <v>0</v>
      </c>
      <c r="E586" s="86">
        <v>0</v>
      </c>
      <c r="F586" s="86">
        <v>0</v>
      </c>
      <c r="G586" s="86">
        <v>0</v>
      </c>
      <c r="H586" s="86">
        <v>0</v>
      </c>
    </row>
    <row r="587" spans="1:8" x14ac:dyDescent="0.45">
      <c r="A587" s="3" t="s">
        <v>14</v>
      </c>
      <c r="B587" s="86">
        <v>32</v>
      </c>
      <c r="C587" s="86">
        <v>116</v>
      </c>
      <c r="D587" s="86">
        <v>100</v>
      </c>
      <c r="E587" s="86">
        <v>49</v>
      </c>
      <c r="F587" s="86">
        <v>182</v>
      </c>
      <c r="G587" s="86">
        <v>56</v>
      </c>
      <c r="H587" s="86">
        <v>535</v>
      </c>
    </row>
    <row r="588" spans="1:8" x14ac:dyDescent="0.45">
      <c r="A588" s="3" t="s">
        <v>40</v>
      </c>
      <c r="B588" s="86">
        <v>0</v>
      </c>
      <c r="C588" s="86">
        <v>0</v>
      </c>
      <c r="D588" s="86">
        <v>0</v>
      </c>
      <c r="E588" s="86">
        <v>0</v>
      </c>
      <c r="F588" s="86">
        <v>0</v>
      </c>
      <c r="G588" s="86">
        <v>0</v>
      </c>
      <c r="H588" s="86">
        <v>0</v>
      </c>
    </row>
    <row r="589" spans="1:8" x14ac:dyDescent="0.45">
      <c r="A589" s="3" t="s">
        <v>52</v>
      </c>
      <c r="B589" s="86">
        <v>0</v>
      </c>
      <c r="C589" s="86">
        <v>0</v>
      </c>
      <c r="D589" s="86">
        <v>0</v>
      </c>
      <c r="E589" s="86">
        <v>0</v>
      </c>
      <c r="F589" s="86">
        <v>0</v>
      </c>
      <c r="G589" s="86">
        <v>0</v>
      </c>
      <c r="H589" s="86">
        <v>0</v>
      </c>
    </row>
    <row r="590" spans="1:8" x14ac:dyDescent="0.45">
      <c r="A590" s="3" t="s">
        <v>53</v>
      </c>
      <c r="B590" s="86">
        <v>0</v>
      </c>
      <c r="C590" s="86">
        <v>0</v>
      </c>
      <c r="D590" s="86">
        <v>0</v>
      </c>
      <c r="E590" s="86">
        <v>0</v>
      </c>
      <c r="F590" s="86">
        <v>0</v>
      </c>
      <c r="G590" s="86">
        <v>0</v>
      </c>
      <c r="H590" s="86">
        <v>0</v>
      </c>
    </row>
    <row r="591" spans="1:8" x14ac:dyDescent="0.45">
      <c r="A591" s="3" t="s">
        <v>15</v>
      </c>
      <c r="B591" s="86">
        <v>0</v>
      </c>
      <c r="C591" s="86">
        <v>0</v>
      </c>
      <c r="D591" s="86">
        <v>0</v>
      </c>
      <c r="E591" s="86">
        <v>0</v>
      </c>
      <c r="F591" s="86">
        <v>0</v>
      </c>
      <c r="G591" s="86">
        <v>0</v>
      </c>
      <c r="H591" s="86">
        <v>0</v>
      </c>
    </row>
    <row r="592" spans="1:8" x14ac:dyDescent="0.45">
      <c r="A592" s="3" t="s">
        <v>54</v>
      </c>
      <c r="B592" s="86">
        <v>0</v>
      </c>
      <c r="C592" s="86">
        <v>0</v>
      </c>
      <c r="D592" s="86">
        <v>0</v>
      </c>
      <c r="E592" s="86">
        <v>0</v>
      </c>
      <c r="F592" s="86">
        <v>0</v>
      </c>
      <c r="G592" s="86">
        <v>0</v>
      </c>
      <c r="H592" s="86">
        <v>0</v>
      </c>
    </row>
    <row r="593" spans="1:8" x14ac:dyDescent="0.45">
      <c r="A593" s="3" t="s">
        <v>47</v>
      </c>
      <c r="B593" s="86">
        <v>0</v>
      </c>
      <c r="C593" s="86">
        <v>12</v>
      </c>
      <c r="D593" s="86">
        <v>3</v>
      </c>
      <c r="E593" s="86">
        <v>0</v>
      </c>
      <c r="F593" s="86">
        <v>31</v>
      </c>
      <c r="G593" s="86">
        <v>25</v>
      </c>
      <c r="H593" s="86">
        <v>71</v>
      </c>
    </row>
    <row r="594" spans="1:8" x14ac:dyDescent="0.45">
      <c r="A594" s="3" t="s">
        <v>16</v>
      </c>
      <c r="B594" s="86">
        <v>0</v>
      </c>
      <c r="C594" s="86">
        <v>0</v>
      </c>
      <c r="D594" s="86">
        <v>0</v>
      </c>
      <c r="E594" s="86">
        <v>0</v>
      </c>
      <c r="F594" s="86">
        <v>0</v>
      </c>
      <c r="G594" s="86">
        <v>0</v>
      </c>
      <c r="H594" s="86">
        <v>0</v>
      </c>
    </row>
    <row r="595" spans="1:8" x14ac:dyDescent="0.45">
      <c r="A595" s="3" t="s">
        <v>55</v>
      </c>
      <c r="B595" s="86">
        <v>0</v>
      </c>
      <c r="C595" s="86">
        <v>0</v>
      </c>
      <c r="D595" s="86">
        <v>0</v>
      </c>
      <c r="E595" s="86">
        <v>0</v>
      </c>
      <c r="F595" s="86">
        <v>0</v>
      </c>
      <c r="G595" s="86">
        <v>0</v>
      </c>
      <c r="H595" s="86">
        <v>0</v>
      </c>
    </row>
    <row r="596" spans="1:8" x14ac:dyDescent="0.45">
      <c r="A596" s="3" t="s">
        <v>17</v>
      </c>
      <c r="B596" s="86">
        <v>0</v>
      </c>
      <c r="C596" s="86">
        <v>0</v>
      </c>
      <c r="D596" s="86">
        <v>0</v>
      </c>
      <c r="E596" s="86">
        <v>0</v>
      </c>
      <c r="F596" s="86">
        <v>0</v>
      </c>
      <c r="G596" s="86">
        <v>0</v>
      </c>
      <c r="H596" s="86">
        <v>0</v>
      </c>
    </row>
    <row r="597" spans="1:8" x14ac:dyDescent="0.45">
      <c r="A597" s="3" t="s">
        <v>23</v>
      </c>
      <c r="B597" s="86">
        <v>0</v>
      </c>
      <c r="C597" s="86">
        <v>0</v>
      </c>
      <c r="D597" s="86">
        <v>0</v>
      </c>
      <c r="E597" s="86">
        <v>0</v>
      </c>
      <c r="F597" s="86">
        <v>0</v>
      </c>
      <c r="G597" s="86">
        <v>0</v>
      </c>
      <c r="H597" s="86">
        <v>0</v>
      </c>
    </row>
    <row r="598" spans="1:8" x14ac:dyDescent="0.45">
      <c r="A598" s="11" t="s">
        <v>24</v>
      </c>
      <c r="B598" s="86">
        <v>85</v>
      </c>
      <c r="C598" s="86">
        <v>671</v>
      </c>
      <c r="D598" s="86">
        <v>797</v>
      </c>
      <c r="E598" s="86">
        <v>244</v>
      </c>
      <c r="F598" s="86">
        <v>4479</v>
      </c>
      <c r="G598" s="86">
        <v>1038</v>
      </c>
      <c r="H598" s="86">
        <v>7314</v>
      </c>
    </row>
    <row r="601" spans="1:8" x14ac:dyDescent="0.45">
      <c r="A601" s="37" t="s">
        <v>116</v>
      </c>
      <c r="B601" s="2"/>
      <c r="C601" s="2"/>
    </row>
    <row r="602" spans="1:8" x14ac:dyDescent="0.45">
      <c r="A602" s="1" t="s">
        <v>113</v>
      </c>
      <c r="B602" s="2"/>
    </row>
    <row r="603" spans="1:8" x14ac:dyDescent="0.45">
      <c r="B603" s="2" t="s">
        <v>20</v>
      </c>
      <c r="D603" t="s">
        <v>21</v>
      </c>
    </row>
    <row r="604" spans="1:8" x14ac:dyDescent="0.45">
      <c r="A604" s="6" t="s">
        <v>19</v>
      </c>
      <c r="B604" s="4">
        <v>24</v>
      </c>
      <c r="C604" s="4">
        <v>29</v>
      </c>
      <c r="D604" s="4">
        <v>4</v>
      </c>
      <c r="E604" s="4">
        <v>9</v>
      </c>
      <c r="F604" s="4">
        <v>14</v>
      </c>
      <c r="G604" s="4">
        <v>19</v>
      </c>
      <c r="H604" s="4" t="s">
        <v>24</v>
      </c>
    </row>
    <row r="605" spans="1:8" x14ac:dyDescent="0.45">
      <c r="A605" s="3" t="s">
        <v>1</v>
      </c>
      <c r="B605" s="86">
        <v>0</v>
      </c>
      <c r="C605" s="86">
        <v>1</v>
      </c>
      <c r="D605" s="86">
        <v>18</v>
      </c>
      <c r="E605" s="86">
        <v>21</v>
      </c>
      <c r="F605" s="86">
        <v>64</v>
      </c>
      <c r="G605" s="86">
        <v>43</v>
      </c>
      <c r="H605" s="86">
        <f>SUM(B605:G605)</f>
        <v>147</v>
      </c>
    </row>
    <row r="606" spans="1:8" x14ac:dyDescent="0.45">
      <c r="A606" s="3" t="s">
        <v>49</v>
      </c>
      <c r="B606" s="86">
        <v>0</v>
      </c>
      <c r="C606" s="86">
        <v>0</v>
      </c>
      <c r="D606" s="86">
        <v>0</v>
      </c>
      <c r="E606" s="86">
        <v>0</v>
      </c>
      <c r="F606" s="86">
        <v>0</v>
      </c>
      <c r="G606" s="86">
        <v>0</v>
      </c>
      <c r="H606" s="86">
        <f t="shared" ref="H606:H639" si="34">SUM(B606:G606)</f>
        <v>0</v>
      </c>
    </row>
    <row r="607" spans="1:8" x14ac:dyDescent="0.45">
      <c r="A607" s="3" t="s">
        <v>45</v>
      </c>
      <c r="B607" s="86">
        <v>0</v>
      </c>
      <c r="C607" s="86">
        <v>0</v>
      </c>
      <c r="D607" s="86">
        <v>0</v>
      </c>
      <c r="E607" s="86">
        <v>0</v>
      </c>
      <c r="F607" s="86">
        <v>1</v>
      </c>
      <c r="G607" s="86">
        <v>0</v>
      </c>
      <c r="H607" s="86">
        <f t="shared" si="34"/>
        <v>1</v>
      </c>
    </row>
    <row r="608" spans="1:8" x14ac:dyDescent="0.45">
      <c r="A608" s="3" t="s">
        <v>41</v>
      </c>
      <c r="B608" s="86">
        <v>0</v>
      </c>
      <c r="C608" s="86">
        <v>0</v>
      </c>
      <c r="D608" s="86">
        <v>2</v>
      </c>
      <c r="E608" s="86">
        <v>3</v>
      </c>
      <c r="F608" s="86">
        <v>0</v>
      </c>
      <c r="G608" s="86">
        <v>0</v>
      </c>
      <c r="H608" s="86">
        <f t="shared" si="34"/>
        <v>5</v>
      </c>
    </row>
    <row r="609" spans="1:8" x14ac:dyDescent="0.45">
      <c r="A609" s="3" t="s">
        <v>2</v>
      </c>
      <c r="B609" s="86">
        <v>11</v>
      </c>
      <c r="C609" s="86">
        <v>35</v>
      </c>
      <c r="D609" s="86">
        <v>127</v>
      </c>
      <c r="E609" s="86">
        <v>60</v>
      </c>
      <c r="F609" s="86">
        <v>9</v>
      </c>
      <c r="G609" s="86">
        <v>0</v>
      </c>
      <c r="H609" s="86">
        <f t="shared" si="34"/>
        <v>242</v>
      </c>
    </row>
    <row r="610" spans="1:8" x14ac:dyDescent="0.45">
      <c r="A610" s="3" t="s">
        <v>43</v>
      </c>
      <c r="B610" s="86">
        <v>0</v>
      </c>
      <c r="C610" s="86">
        <v>0</v>
      </c>
      <c r="D610" s="86">
        <v>0</v>
      </c>
      <c r="E610" s="86">
        <v>2</v>
      </c>
      <c r="F610" s="86">
        <v>3</v>
      </c>
      <c r="G610" s="86">
        <v>2</v>
      </c>
      <c r="H610" s="86">
        <f t="shared" si="34"/>
        <v>7</v>
      </c>
    </row>
    <row r="611" spans="1:8" x14ac:dyDescent="0.45">
      <c r="A611" s="3" t="s">
        <v>3</v>
      </c>
      <c r="B611" s="86">
        <v>12</v>
      </c>
      <c r="C611" s="86">
        <v>10</v>
      </c>
      <c r="D611" s="86">
        <v>11</v>
      </c>
      <c r="E611" s="86">
        <v>12</v>
      </c>
      <c r="F611" s="86">
        <v>3</v>
      </c>
      <c r="G611" s="86">
        <v>2</v>
      </c>
      <c r="H611" s="86">
        <f t="shared" si="34"/>
        <v>50</v>
      </c>
    </row>
    <row r="612" spans="1:8" x14ac:dyDescent="0.45">
      <c r="A612" s="3" t="s">
        <v>4</v>
      </c>
      <c r="B612" s="86">
        <v>0</v>
      </c>
      <c r="C612" s="86">
        <v>1</v>
      </c>
      <c r="D612" s="86">
        <v>1</v>
      </c>
      <c r="E612" s="86">
        <v>1</v>
      </c>
      <c r="F612" s="86">
        <v>0</v>
      </c>
      <c r="G612" s="86">
        <v>0</v>
      </c>
      <c r="H612" s="86">
        <f t="shared" si="34"/>
        <v>3</v>
      </c>
    </row>
    <row r="613" spans="1:8" x14ac:dyDescent="0.45">
      <c r="A613" s="3" t="s">
        <v>48</v>
      </c>
      <c r="B613" s="86">
        <v>0</v>
      </c>
      <c r="C613" s="86">
        <v>0</v>
      </c>
      <c r="D613" s="86">
        <v>0</v>
      </c>
      <c r="E613" s="86">
        <v>0</v>
      </c>
      <c r="F613" s="86">
        <v>0</v>
      </c>
      <c r="G613" s="86">
        <v>0</v>
      </c>
      <c r="H613" s="86">
        <f t="shared" si="34"/>
        <v>0</v>
      </c>
    </row>
    <row r="614" spans="1:8" x14ac:dyDescent="0.45">
      <c r="A614" s="3" t="s">
        <v>6</v>
      </c>
      <c r="B614" s="86">
        <v>0</v>
      </c>
      <c r="C614" s="86">
        <v>0</v>
      </c>
      <c r="D614" s="86">
        <v>0</v>
      </c>
      <c r="E614" s="86">
        <v>0</v>
      </c>
      <c r="F614" s="86">
        <v>0</v>
      </c>
      <c r="G614" s="86">
        <v>0</v>
      </c>
      <c r="H614" s="86">
        <f t="shared" si="34"/>
        <v>0</v>
      </c>
    </row>
    <row r="615" spans="1:8" x14ac:dyDescent="0.45">
      <c r="A615" s="3" t="s">
        <v>7</v>
      </c>
      <c r="B615" s="86">
        <v>0</v>
      </c>
      <c r="C615" s="86">
        <v>0</v>
      </c>
      <c r="D615" s="86">
        <v>0</v>
      </c>
      <c r="E615" s="86">
        <v>2</v>
      </c>
      <c r="F615" s="86">
        <v>10</v>
      </c>
      <c r="G615" s="86">
        <v>4</v>
      </c>
      <c r="H615" s="86">
        <f t="shared" si="34"/>
        <v>16</v>
      </c>
    </row>
    <row r="616" spans="1:8" x14ac:dyDescent="0.45">
      <c r="A616" s="3" t="s">
        <v>50</v>
      </c>
      <c r="B616" s="86">
        <v>0</v>
      </c>
      <c r="C616" s="86">
        <v>0</v>
      </c>
      <c r="D616" s="86">
        <v>0</v>
      </c>
      <c r="E616" s="86">
        <v>0</v>
      </c>
      <c r="F616" s="86">
        <v>0</v>
      </c>
      <c r="G616" s="86">
        <v>0</v>
      </c>
      <c r="H616" s="86">
        <f t="shared" si="34"/>
        <v>0</v>
      </c>
    </row>
    <row r="617" spans="1:8" x14ac:dyDescent="0.45">
      <c r="A617" s="3" t="s">
        <v>51</v>
      </c>
      <c r="B617" s="86">
        <v>0</v>
      </c>
      <c r="C617" s="86">
        <v>0</v>
      </c>
      <c r="D617" s="86">
        <v>0</v>
      </c>
      <c r="E617" s="86">
        <v>0</v>
      </c>
      <c r="F617" s="86">
        <v>1</v>
      </c>
      <c r="G617" s="86">
        <v>1</v>
      </c>
      <c r="H617" s="86">
        <f t="shared" si="34"/>
        <v>2</v>
      </c>
    </row>
    <row r="618" spans="1:8" x14ac:dyDescent="0.45">
      <c r="A618" s="3" t="s">
        <v>42</v>
      </c>
      <c r="B618" s="86">
        <v>0</v>
      </c>
      <c r="C618" s="86">
        <v>0</v>
      </c>
      <c r="D618" s="86">
        <v>0</v>
      </c>
      <c r="E618" s="86">
        <v>1</v>
      </c>
      <c r="F618" s="86">
        <v>0</v>
      </c>
      <c r="G618" s="86">
        <v>0</v>
      </c>
      <c r="H618" s="86">
        <f t="shared" si="34"/>
        <v>1</v>
      </c>
    </row>
    <row r="619" spans="1:8" x14ac:dyDescent="0.45">
      <c r="A619" s="3" t="s">
        <v>8</v>
      </c>
      <c r="B619" s="86">
        <v>0</v>
      </c>
      <c r="C619" s="86">
        <v>0</v>
      </c>
      <c r="D619" s="86">
        <v>0</v>
      </c>
      <c r="E619" s="86">
        <v>4</v>
      </c>
      <c r="F619" s="86">
        <v>12</v>
      </c>
      <c r="G619" s="86">
        <v>8</v>
      </c>
      <c r="H619" s="86">
        <f t="shared" si="34"/>
        <v>24</v>
      </c>
    </row>
    <row r="620" spans="1:8" x14ac:dyDescent="0.45">
      <c r="A620" s="3" t="s">
        <v>9</v>
      </c>
      <c r="B620" s="86">
        <v>0</v>
      </c>
      <c r="C620" s="86">
        <v>0</v>
      </c>
      <c r="D620" s="86">
        <v>133</v>
      </c>
      <c r="E620" s="86">
        <v>290</v>
      </c>
      <c r="F620" s="86">
        <v>84</v>
      </c>
      <c r="G620" s="86">
        <v>56</v>
      </c>
      <c r="H620" s="86">
        <f t="shared" si="34"/>
        <v>563</v>
      </c>
    </row>
    <row r="621" spans="1:8" x14ac:dyDescent="0.45">
      <c r="A621" s="3" t="s">
        <v>44</v>
      </c>
      <c r="B621" s="86">
        <v>0</v>
      </c>
      <c r="C621" s="86">
        <v>0</v>
      </c>
      <c r="D621" s="86">
        <v>0</v>
      </c>
      <c r="E621" s="86">
        <v>0</v>
      </c>
      <c r="F621" s="86">
        <v>1</v>
      </c>
      <c r="G621" s="86">
        <v>0</v>
      </c>
      <c r="H621" s="86">
        <f t="shared" si="34"/>
        <v>1</v>
      </c>
    </row>
    <row r="622" spans="1:8" x14ac:dyDescent="0.45">
      <c r="A622" s="3" t="s">
        <v>10</v>
      </c>
      <c r="B622" s="86">
        <v>0</v>
      </c>
      <c r="C622" s="86">
        <v>0</v>
      </c>
      <c r="D622" s="86">
        <v>1</v>
      </c>
      <c r="E622" s="86">
        <v>7</v>
      </c>
      <c r="F622" s="86">
        <v>113</v>
      </c>
      <c r="G622" s="86">
        <v>0</v>
      </c>
      <c r="H622" s="86">
        <f t="shared" si="34"/>
        <v>121</v>
      </c>
    </row>
    <row r="623" spans="1:8" x14ac:dyDescent="0.45">
      <c r="A623" s="3" t="s">
        <v>11</v>
      </c>
      <c r="B623" s="86">
        <v>0</v>
      </c>
      <c r="C623" s="86">
        <v>0</v>
      </c>
      <c r="D623" s="86">
        <v>84</v>
      </c>
      <c r="E623" s="86">
        <v>2125</v>
      </c>
      <c r="F623" s="86">
        <v>1850</v>
      </c>
      <c r="G623" s="86">
        <v>39</v>
      </c>
      <c r="H623" s="86">
        <f t="shared" si="34"/>
        <v>4098</v>
      </c>
    </row>
    <row r="624" spans="1:8" x14ac:dyDescent="0.45">
      <c r="A624" s="3" t="s">
        <v>12</v>
      </c>
      <c r="B624" s="86">
        <v>0</v>
      </c>
      <c r="C624" s="86">
        <v>13</v>
      </c>
      <c r="D624" s="86">
        <v>47</v>
      </c>
      <c r="E624" s="86">
        <v>105</v>
      </c>
      <c r="F624" s="86">
        <v>38</v>
      </c>
      <c r="G624" s="86">
        <v>15</v>
      </c>
      <c r="H624" s="86">
        <f t="shared" si="34"/>
        <v>218</v>
      </c>
    </row>
    <row r="625" spans="1:8" x14ac:dyDescent="0.45">
      <c r="A625" s="3" t="s">
        <v>32</v>
      </c>
      <c r="B625" s="86">
        <v>0</v>
      </c>
      <c r="C625" s="86">
        <v>0</v>
      </c>
      <c r="D625" s="86">
        <v>0</v>
      </c>
      <c r="E625" s="86">
        <v>2</v>
      </c>
      <c r="F625" s="86">
        <v>1</v>
      </c>
      <c r="G625" s="86">
        <v>0</v>
      </c>
      <c r="H625" s="86">
        <f t="shared" si="34"/>
        <v>3</v>
      </c>
    </row>
    <row r="626" spans="1:8" x14ac:dyDescent="0.45">
      <c r="A626" s="3" t="s">
        <v>18</v>
      </c>
      <c r="B626" s="86">
        <v>0</v>
      </c>
      <c r="C626" s="86">
        <v>0</v>
      </c>
      <c r="D626" s="86">
        <v>79</v>
      </c>
      <c r="E626" s="86">
        <v>315</v>
      </c>
      <c r="F626" s="86">
        <v>2934</v>
      </c>
      <c r="G626" s="86">
        <v>5</v>
      </c>
      <c r="H626" s="86">
        <f t="shared" si="34"/>
        <v>3333</v>
      </c>
    </row>
    <row r="627" spans="1:8" x14ac:dyDescent="0.45">
      <c r="A627" s="3" t="s">
        <v>46</v>
      </c>
      <c r="B627" s="86">
        <v>0</v>
      </c>
      <c r="C627" s="86">
        <v>0</v>
      </c>
      <c r="D627" s="86">
        <v>0</v>
      </c>
      <c r="E627" s="86">
        <v>0</v>
      </c>
      <c r="F627" s="86">
        <v>0</v>
      </c>
      <c r="G627" s="86">
        <v>8</v>
      </c>
      <c r="H627" s="86">
        <f t="shared" si="34"/>
        <v>8</v>
      </c>
    </row>
    <row r="628" spans="1:8" x14ac:dyDescent="0.45">
      <c r="A628" s="3" t="s">
        <v>13</v>
      </c>
      <c r="B628" s="86">
        <v>0</v>
      </c>
      <c r="C628" s="86">
        <v>0</v>
      </c>
      <c r="D628" s="86">
        <v>0</v>
      </c>
      <c r="E628" s="86">
        <v>0</v>
      </c>
      <c r="F628" s="86">
        <v>0</v>
      </c>
      <c r="G628" s="86">
        <v>0</v>
      </c>
      <c r="H628" s="86">
        <f t="shared" si="34"/>
        <v>0</v>
      </c>
    </row>
    <row r="629" spans="1:8" x14ac:dyDescent="0.45">
      <c r="A629" s="3" t="s">
        <v>14</v>
      </c>
      <c r="B629" s="86">
        <v>0</v>
      </c>
      <c r="C629" s="86">
        <v>0</v>
      </c>
      <c r="D629" s="86">
        <v>350</v>
      </c>
      <c r="E629" s="86">
        <v>157</v>
      </c>
      <c r="F629" s="86">
        <v>484</v>
      </c>
      <c r="G629" s="86">
        <v>11</v>
      </c>
      <c r="H629" s="86">
        <f t="shared" si="34"/>
        <v>1002</v>
      </c>
    </row>
    <row r="630" spans="1:8" x14ac:dyDescent="0.45">
      <c r="A630" s="3" t="s">
        <v>40</v>
      </c>
      <c r="B630" s="86">
        <v>0</v>
      </c>
      <c r="C630" s="86">
        <v>0</v>
      </c>
      <c r="D630" s="86">
        <v>1</v>
      </c>
      <c r="E630" s="86">
        <v>0</v>
      </c>
      <c r="F630" s="86">
        <v>0</v>
      </c>
      <c r="G630" s="86">
        <v>0</v>
      </c>
      <c r="H630" s="86">
        <f t="shared" si="34"/>
        <v>1</v>
      </c>
    </row>
    <row r="631" spans="1:8" x14ac:dyDescent="0.45">
      <c r="A631" s="3" t="s">
        <v>52</v>
      </c>
      <c r="B631" s="86">
        <v>0</v>
      </c>
      <c r="C631" s="86">
        <v>0</v>
      </c>
      <c r="D631" s="86">
        <v>0</v>
      </c>
      <c r="E631" s="86">
        <v>0</v>
      </c>
      <c r="F631" s="86">
        <v>0</v>
      </c>
      <c r="G631" s="86">
        <v>0</v>
      </c>
      <c r="H631" s="86">
        <f t="shared" si="34"/>
        <v>0</v>
      </c>
    </row>
    <row r="632" spans="1:8" x14ac:dyDescent="0.45">
      <c r="A632" s="3" t="s">
        <v>53</v>
      </c>
      <c r="B632" s="86">
        <v>0</v>
      </c>
      <c r="C632" s="86">
        <v>0</v>
      </c>
      <c r="D632" s="86">
        <v>0</v>
      </c>
      <c r="E632" s="86">
        <v>0</v>
      </c>
      <c r="F632" s="86">
        <v>2</v>
      </c>
      <c r="G632" s="86">
        <v>0</v>
      </c>
      <c r="H632" s="86">
        <f t="shared" si="34"/>
        <v>2</v>
      </c>
    </row>
    <row r="633" spans="1:8" x14ac:dyDescent="0.45">
      <c r="A633" s="3" t="s">
        <v>15</v>
      </c>
      <c r="B633" s="86">
        <v>0</v>
      </c>
      <c r="C633" s="86">
        <v>0</v>
      </c>
      <c r="D633" s="86">
        <v>22</v>
      </c>
      <c r="E633" s="86">
        <v>1</v>
      </c>
      <c r="F633" s="86">
        <v>0</v>
      </c>
      <c r="G633" s="86">
        <v>10</v>
      </c>
      <c r="H633" s="86">
        <f t="shared" si="34"/>
        <v>33</v>
      </c>
    </row>
    <row r="634" spans="1:8" x14ac:dyDescent="0.45">
      <c r="A634" s="3" t="s">
        <v>54</v>
      </c>
      <c r="B634" s="86">
        <v>0</v>
      </c>
      <c r="C634" s="86">
        <v>0</v>
      </c>
      <c r="D634" s="86">
        <v>0</v>
      </c>
      <c r="E634" s="86">
        <v>12</v>
      </c>
      <c r="F634" s="86">
        <v>2</v>
      </c>
      <c r="G634" s="86">
        <v>0</v>
      </c>
      <c r="H634" s="86">
        <f t="shared" si="34"/>
        <v>14</v>
      </c>
    </row>
    <row r="635" spans="1:8" x14ac:dyDescent="0.45">
      <c r="A635" s="3" t="s">
        <v>47</v>
      </c>
      <c r="B635" s="86">
        <v>0</v>
      </c>
      <c r="C635" s="86">
        <v>0</v>
      </c>
      <c r="D635" s="86">
        <v>30</v>
      </c>
      <c r="E635" s="86">
        <v>2</v>
      </c>
      <c r="F635" s="86">
        <v>10</v>
      </c>
      <c r="G635" s="86">
        <v>0</v>
      </c>
      <c r="H635" s="86">
        <f t="shared" si="34"/>
        <v>42</v>
      </c>
    </row>
    <row r="636" spans="1:8" x14ac:dyDescent="0.45">
      <c r="A636" s="3" t="s">
        <v>16</v>
      </c>
      <c r="B636" s="86">
        <v>0</v>
      </c>
      <c r="C636" s="86">
        <v>0</v>
      </c>
      <c r="D636" s="86">
        <v>0</v>
      </c>
      <c r="E636" s="86">
        <v>1</v>
      </c>
      <c r="F636" s="86">
        <v>0</v>
      </c>
      <c r="G636" s="86">
        <v>0</v>
      </c>
      <c r="H636" s="86">
        <f t="shared" si="34"/>
        <v>1</v>
      </c>
    </row>
    <row r="637" spans="1:8" x14ac:dyDescent="0.45">
      <c r="A637" s="3" t="s">
        <v>55</v>
      </c>
      <c r="B637" s="86">
        <v>0</v>
      </c>
      <c r="C637" s="86">
        <v>0</v>
      </c>
      <c r="D637" s="86">
        <v>0</v>
      </c>
      <c r="E637" s="86">
        <v>0</v>
      </c>
      <c r="F637" s="86">
        <v>0</v>
      </c>
      <c r="G637" s="86">
        <v>0</v>
      </c>
      <c r="H637" s="86">
        <f t="shared" si="34"/>
        <v>0</v>
      </c>
    </row>
    <row r="638" spans="1:8" x14ac:dyDescent="0.45">
      <c r="A638" s="3" t="s">
        <v>17</v>
      </c>
      <c r="B638" s="86">
        <v>0</v>
      </c>
      <c r="C638" s="86">
        <v>0</v>
      </c>
      <c r="D638" s="86">
        <v>0</v>
      </c>
      <c r="E638" s="86">
        <v>0</v>
      </c>
      <c r="F638" s="86">
        <v>3000</v>
      </c>
      <c r="G638" s="86">
        <v>2001</v>
      </c>
      <c r="H638" s="86">
        <f t="shared" si="34"/>
        <v>5001</v>
      </c>
    </row>
    <row r="639" spans="1:8" x14ac:dyDescent="0.45">
      <c r="A639" s="3" t="s">
        <v>23</v>
      </c>
      <c r="B639" s="86">
        <v>0</v>
      </c>
      <c r="C639" s="86">
        <v>0</v>
      </c>
      <c r="D639" s="86">
        <v>0</v>
      </c>
      <c r="E639" s="86">
        <v>0</v>
      </c>
      <c r="F639" s="86">
        <v>0</v>
      </c>
      <c r="G639" s="86">
        <v>0</v>
      </c>
      <c r="H639" s="86">
        <f t="shared" si="34"/>
        <v>0</v>
      </c>
    </row>
    <row r="640" spans="1:8" x14ac:dyDescent="0.45">
      <c r="A640" s="11" t="s">
        <v>24</v>
      </c>
      <c r="B640" s="86">
        <f t="shared" ref="B640:H640" si="35">SUM(B605:B639)</f>
        <v>23</v>
      </c>
      <c r="C640" s="86">
        <f t="shared" si="35"/>
        <v>60</v>
      </c>
      <c r="D640" s="86">
        <f t="shared" si="35"/>
        <v>906</v>
      </c>
      <c r="E640" s="86">
        <f t="shared" si="35"/>
        <v>3123</v>
      </c>
      <c r="F640" s="86">
        <f t="shared" si="35"/>
        <v>8622</v>
      </c>
      <c r="G640" s="86">
        <f t="shared" si="35"/>
        <v>2205</v>
      </c>
      <c r="H640" s="86">
        <f t="shared" si="35"/>
        <v>14939</v>
      </c>
    </row>
    <row r="642" spans="1:8" x14ac:dyDescent="0.45">
      <c r="A642" s="37" t="s">
        <v>116</v>
      </c>
    </row>
    <row r="643" spans="1:8" x14ac:dyDescent="0.45">
      <c r="A643" s="1" t="s">
        <v>115</v>
      </c>
    </row>
    <row r="644" spans="1:8" x14ac:dyDescent="0.45">
      <c r="B644" s="2" t="s">
        <v>20</v>
      </c>
      <c r="D644" t="s">
        <v>21</v>
      </c>
    </row>
    <row r="645" spans="1:8" x14ac:dyDescent="0.45">
      <c r="A645" s="6" t="s">
        <v>19</v>
      </c>
      <c r="B645" s="4">
        <v>24</v>
      </c>
      <c r="C645" s="4">
        <v>29</v>
      </c>
      <c r="D645" s="4">
        <v>4</v>
      </c>
      <c r="E645" s="4">
        <v>9</v>
      </c>
      <c r="F645" s="4">
        <v>14</v>
      </c>
      <c r="G645" s="4">
        <v>19</v>
      </c>
      <c r="H645" s="4" t="s">
        <v>24</v>
      </c>
    </row>
    <row r="646" spans="1:8" x14ac:dyDescent="0.45">
      <c r="A646" s="3" t="s">
        <v>1</v>
      </c>
      <c r="B646" s="86">
        <v>0</v>
      </c>
      <c r="C646" s="86">
        <v>1</v>
      </c>
      <c r="D646" s="86">
        <v>13</v>
      </c>
      <c r="E646" s="86">
        <v>21</v>
      </c>
      <c r="F646" s="86">
        <v>64</v>
      </c>
      <c r="G646" s="86">
        <v>43</v>
      </c>
      <c r="H646" s="86">
        <f>SUM(B646:G646)</f>
        <v>142</v>
      </c>
    </row>
    <row r="647" spans="1:8" x14ac:dyDescent="0.45">
      <c r="A647" s="3" t="s">
        <v>49</v>
      </c>
      <c r="B647" s="86">
        <v>0</v>
      </c>
      <c r="C647" s="86">
        <v>0</v>
      </c>
      <c r="D647" s="86">
        <v>0</v>
      </c>
      <c r="E647" s="86">
        <v>0</v>
      </c>
      <c r="F647" s="86">
        <v>0</v>
      </c>
      <c r="G647" s="86">
        <v>0</v>
      </c>
      <c r="H647" s="86">
        <f t="shared" ref="H647:H680" si="36">SUM(B647:G647)</f>
        <v>0</v>
      </c>
    </row>
    <row r="648" spans="1:8" x14ac:dyDescent="0.45">
      <c r="A648" s="3" t="s">
        <v>45</v>
      </c>
      <c r="B648" s="86">
        <v>0</v>
      </c>
      <c r="C648" s="86">
        <v>0</v>
      </c>
      <c r="D648" s="86">
        <v>0</v>
      </c>
      <c r="E648" s="86">
        <v>0</v>
      </c>
      <c r="F648" s="86">
        <v>0</v>
      </c>
      <c r="G648" s="86">
        <v>0</v>
      </c>
      <c r="H648" s="86">
        <f t="shared" si="36"/>
        <v>0</v>
      </c>
    </row>
    <row r="649" spans="1:8" x14ac:dyDescent="0.45">
      <c r="A649" s="3" t="s">
        <v>41</v>
      </c>
      <c r="B649" s="86">
        <v>0</v>
      </c>
      <c r="C649" s="86">
        <v>0</v>
      </c>
      <c r="D649" s="86">
        <v>2</v>
      </c>
      <c r="E649" s="86">
        <v>0</v>
      </c>
      <c r="F649" s="86">
        <v>0</v>
      </c>
      <c r="G649" s="86">
        <v>0</v>
      </c>
      <c r="H649" s="86">
        <f t="shared" si="36"/>
        <v>2</v>
      </c>
    </row>
    <row r="650" spans="1:8" x14ac:dyDescent="0.45">
      <c r="A650" s="3" t="s">
        <v>2</v>
      </c>
      <c r="B650" s="86">
        <v>11</v>
      </c>
      <c r="C650" s="86">
        <v>35</v>
      </c>
      <c r="D650" s="86">
        <v>126</v>
      </c>
      <c r="E650" s="86">
        <v>60</v>
      </c>
      <c r="F650" s="86">
        <v>9</v>
      </c>
      <c r="G650" s="86">
        <v>0</v>
      </c>
      <c r="H650" s="86">
        <f t="shared" si="36"/>
        <v>241</v>
      </c>
    </row>
    <row r="651" spans="1:8" x14ac:dyDescent="0.45">
      <c r="A651" s="3" t="s">
        <v>43</v>
      </c>
      <c r="B651" s="86">
        <v>0</v>
      </c>
      <c r="C651" s="86">
        <v>0</v>
      </c>
      <c r="D651" s="86">
        <v>0</v>
      </c>
      <c r="E651" s="86">
        <v>0</v>
      </c>
      <c r="F651" s="86">
        <v>0</v>
      </c>
      <c r="G651" s="86">
        <v>0</v>
      </c>
      <c r="H651" s="86">
        <f t="shared" si="36"/>
        <v>0</v>
      </c>
    </row>
    <row r="652" spans="1:8" x14ac:dyDescent="0.45">
      <c r="A652" s="3" t="s">
        <v>3</v>
      </c>
      <c r="B652" s="86">
        <v>6</v>
      </c>
      <c r="C652" s="86">
        <v>2</v>
      </c>
      <c r="D652" s="86">
        <v>3</v>
      </c>
      <c r="E652" s="86">
        <v>6</v>
      </c>
      <c r="F652" s="86">
        <v>1</v>
      </c>
      <c r="G652" s="86">
        <v>1</v>
      </c>
      <c r="H652" s="86">
        <f t="shared" si="36"/>
        <v>19</v>
      </c>
    </row>
    <row r="653" spans="1:8" x14ac:dyDescent="0.45">
      <c r="A653" s="3" t="s">
        <v>4</v>
      </c>
      <c r="B653" s="86">
        <v>0</v>
      </c>
      <c r="C653" s="86">
        <v>1</v>
      </c>
      <c r="D653" s="86">
        <v>1</v>
      </c>
      <c r="E653" s="86">
        <v>1</v>
      </c>
      <c r="F653" s="86">
        <v>0</v>
      </c>
      <c r="G653" s="86">
        <v>0</v>
      </c>
      <c r="H653" s="86">
        <f t="shared" si="36"/>
        <v>3</v>
      </c>
    </row>
    <row r="654" spans="1:8" x14ac:dyDescent="0.45">
      <c r="A654" s="3" t="s">
        <v>48</v>
      </c>
      <c r="B654" s="86">
        <v>0</v>
      </c>
      <c r="C654" s="86">
        <v>0</v>
      </c>
      <c r="D654" s="86">
        <v>0</v>
      </c>
      <c r="E654" s="86">
        <v>0</v>
      </c>
      <c r="F654" s="86">
        <v>0</v>
      </c>
      <c r="G654" s="86">
        <v>0</v>
      </c>
      <c r="H654" s="86">
        <f t="shared" si="36"/>
        <v>0</v>
      </c>
    </row>
    <row r="655" spans="1:8" x14ac:dyDescent="0.45">
      <c r="A655" s="3" t="s">
        <v>6</v>
      </c>
      <c r="B655" s="86">
        <v>0</v>
      </c>
      <c r="C655" s="86">
        <v>0</v>
      </c>
      <c r="D655" s="86">
        <v>0</v>
      </c>
      <c r="E655" s="86">
        <v>0</v>
      </c>
      <c r="F655" s="86">
        <v>0</v>
      </c>
      <c r="G655" s="86">
        <v>0</v>
      </c>
      <c r="H655" s="86">
        <f t="shared" si="36"/>
        <v>0</v>
      </c>
    </row>
    <row r="656" spans="1:8" x14ac:dyDescent="0.45">
      <c r="A656" s="3" t="s">
        <v>7</v>
      </c>
      <c r="B656" s="86">
        <v>0</v>
      </c>
      <c r="C656" s="86">
        <v>0</v>
      </c>
      <c r="D656" s="86">
        <v>0</v>
      </c>
      <c r="E656" s="86">
        <v>0</v>
      </c>
      <c r="F656" s="86">
        <v>10</v>
      </c>
      <c r="G656" s="86">
        <v>4</v>
      </c>
      <c r="H656" s="86">
        <f t="shared" si="36"/>
        <v>14</v>
      </c>
    </row>
    <row r="657" spans="1:8" x14ac:dyDescent="0.45">
      <c r="A657" s="3" t="s">
        <v>50</v>
      </c>
      <c r="B657" s="86">
        <v>0</v>
      </c>
      <c r="C657" s="86">
        <v>0</v>
      </c>
      <c r="D657" s="86">
        <v>0</v>
      </c>
      <c r="E657" s="86">
        <v>0</v>
      </c>
      <c r="F657" s="86">
        <v>0</v>
      </c>
      <c r="G657" s="86">
        <v>0</v>
      </c>
      <c r="H657" s="86">
        <f t="shared" si="36"/>
        <v>0</v>
      </c>
    </row>
    <row r="658" spans="1:8" x14ac:dyDescent="0.45">
      <c r="A658" s="3" t="s">
        <v>51</v>
      </c>
      <c r="B658" s="86">
        <v>0</v>
      </c>
      <c r="C658" s="86">
        <v>0</v>
      </c>
      <c r="D658" s="86">
        <v>0</v>
      </c>
      <c r="E658" s="86">
        <v>0</v>
      </c>
      <c r="F658" s="86">
        <v>1</v>
      </c>
      <c r="G658" s="86">
        <v>1</v>
      </c>
      <c r="H658" s="86">
        <f t="shared" si="36"/>
        <v>2</v>
      </c>
    </row>
    <row r="659" spans="1:8" x14ac:dyDescent="0.45">
      <c r="A659" s="3" t="s">
        <v>42</v>
      </c>
      <c r="B659" s="86">
        <v>0</v>
      </c>
      <c r="C659" s="86">
        <v>0</v>
      </c>
      <c r="D659" s="86">
        <v>0</v>
      </c>
      <c r="E659" s="86">
        <v>1</v>
      </c>
      <c r="F659" s="86">
        <v>0</v>
      </c>
      <c r="G659" s="86">
        <v>0</v>
      </c>
      <c r="H659" s="86">
        <f t="shared" si="36"/>
        <v>1</v>
      </c>
    </row>
    <row r="660" spans="1:8" x14ac:dyDescent="0.45">
      <c r="A660" s="3" t="s">
        <v>8</v>
      </c>
      <c r="B660" s="86">
        <v>0</v>
      </c>
      <c r="C660" s="86">
        <v>0</v>
      </c>
      <c r="D660" s="86">
        <v>0</v>
      </c>
      <c r="E660" s="86">
        <v>3</v>
      </c>
      <c r="F660" s="86">
        <v>12</v>
      </c>
      <c r="G660" s="86">
        <v>5</v>
      </c>
      <c r="H660" s="86">
        <f t="shared" si="36"/>
        <v>20</v>
      </c>
    </row>
    <row r="661" spans="1:8" x14ac:dyDescent="0.45">
      <c r="A661" s="3" t="s">
        <v>9</v>
      </c>
      <c r="B661" s="86">
        <v>0</v>
      </c>
      <c r="C661" s="86">
        <v>0</v>
      </c>
      <c r="D661" s="86">
        <v>92</v>
      </c>
      <c r="E661" s="86">
        <v>90</v>
      </c>
      <c r="F661" s="86">
        <v>0</v>
      </c>
      <c r="G661" s="86">
        <v>56</v>
      </c>
      <c r="H661" s="86">
        <f t="shared" si="36"/>
        <v>238</v>
      </c>
    </row>
    <row r="662" spans="1:8" x14ac:dyDescent="0.45">
      <c r="A662" s="3" t="s">
        <v>44</v>
      </c>
      <c r="B662" s="86">
        <v>0</v>
      </c>
      <c r="C662" s="86">
        <v>0</v>
      </c>
      <c r="D662" s="86">
        <v>0</v>
      </c>
      <c r="E662" s="86">
        <v>0</v>
      </c>
      <c r="F662" s="86">
        <v>0</v>
      </c>
      <c r="G662" s="86">
        <v>0</v>
      </c>
      <c r="H662" s="86">
        <f t="shared" si="36"/>
        <v>0</v>
      </c>
    </row>
    <row r="663" spans="1:8" x14ac:dyDescent="0.45">
      <c r="A663" s="3" t="s">
        <v>10</v>
      </c>
      <c r="B663" s="86">
        <v>0</v>
      </c>
      <c r="C663" s="86">
        <v>0</v>
      </c>
      <c r="D663" s="86">
        <v>0</v>
      </c>
      <c r="E663" s="86">
        <v>0</v>
      </c>
      <c r="F663" s="86">
        <v>89</v>
      </c>
      <c r="G663" s="86">
        <v>0</v>
      </c>
      <c r="H663" s="86">
        <f t="shared" si="36"/>
        <v>89</v>
      </c>
    </row>
    <row r="664" spans="1:8" x14ac:dyDescent="0.45">
      <c r="A664" s="3" t="s">
        <v>11</v>
      </c>
      <c r="B664" s="86">
        <v>0</v>
      </c>
      <c r="C664" s="86">
        <v>0</v>
      </c>
      <c r="D664" s="86">
        <v>84</v>
      </c>
      <c r="E664" s="86">
        <v>2085</v>
      </c>
      <c r="F664" s="86">
        <v>1700</v>
      </c>
      <c r="G664" s="86">
        <v>39</v>
      </c>
      <c r="H664" s="86">
        <f t="shared" si="36"/>
        <v>3908</v>
      </c>
    </row>
    <row r="665" spans="1:8" x14ac:dyDescent="0.45">
      <c r="A665" s="3" t="s">
        <v>12</v>
      </c>
      <c r="B665" s="86">
        <v>0</v>
      </c>
      <c r="C665" s="86">
        <v>0</v>
      </c>
      <c r="D665" s="86">
        <v>46</v>
      </c>
      <c r="E665" s="86">
        <v>71</v>
      </c>
      <c r="F665" s="86">
        <v>36</v>
      </c>
      <c r="G665" s="86">
        <v>15</v>
      </c>
      <c r="H665" s="86">
        <f t="shared" si="36"/>
        <v>168</v>
      </c>
    </row>
    <row r="666" spans="1:8" x14ac:dyDescent="0.45">
      <c r="A666" s="3" t="s">
        <v>32</v>
      </c>
      <c r="B666" s="86">
        <v>0</v>
      </c>
      <c r="C666" s="86">
        <v>0</v>
      </c>
      <c r="D666" s="86">
        <v>0</v>
      </c>
      <c r="E666" s="86">
        <v>2</v>
      </c>
      <c r="F666" s="86">
        <v>1</v>
      </c>
      <c r="G666" s="86">
        <v>0</v>
      </c>
      <c r="H666" s="86">
        <f t="shared" si="36"/>
        <v>3</v>
      </c>
    </row>
    <row r="667" spans="1:8" x14ac:dyDescent="0.45">
      <c r="A667" s="3" t="s">
        <v>18</v>
      </c>
      <c r="B667" s="86">
        <v>0</v>
      </c>
      <c r="C667" s="86">
        <v>0</v>
      </c>
      <c r="D667" s="86">
        <v>62</v>
      </c>
      <c r="E667" s="86">
        <v>315</v>
      </c>
      <c r="F667" s="86">
        <v>2605</v>
      </c>
      <c r="G667" s="86">
        <v>5</v>
      </c>
      <c r="H667" s="86">
        <f t="shared" si="36"/>
        <v>2987</v>
      </c>
    </row>
    <row r="668" spans="1:8" x14ac:dyDescent="0.45">
      <c r="A668" s="3" t="s">
        <v>46</v>
      </c>
      <c r="B668" s="86">
        <v>0</v>
      </c>
      <c r="C668" s="86">
        <v>0</v>
      </c>
      <c r="D668" s="86">
        <v>0</v>
      </c>
      <c r="E668" s="86">
        <v>0</v>
      </c>
      <c r="F668" s="86">
        <v>0</v>
      </c>
      <c r="G668" s="86">
        <v>8</v>
      </c>
      <c r="H668" s="86">
        <f t="shared" si="36"/>
        <v>8</v>
      </c>
    </row>
    <row r="669" spans="1:8" x14ac:dyDescent="0.45">
      <c r="A669" s="3" t="s">
        <v>13</v>
      </c>
      <c r="B669" s="86">
        <v>0</v>
      </c>
      <c r="C669" s="86">
        <v>0</v>
      </c>
      <c r="D669" s="86">
        <v>0</v>
      </c>
      <c r="E669" s="86">
        <v>0</v>
      </c>
      <c r="F669" s="86">
        <v>0</v>
      </c>
      <c r="G669" s="86">
        <v>0</v>
      </c>
      <c r="H669" s="86">
        <f t="shared" si="36"/>
        <v>0</v>
      </c>
    </row>
    <row r="670" spans="1:8" x14ac:dyDescent="0.45">
      <c r="A670" s="3" t="s">
        <v>14</v>
      </c>
      <c r="B670" s="86">
        <v>0</v>
      </c>
      <c r="C670" s="86">
        <v>0</v>
      </c>
      <c r="D670" s="86">
        <v>349</v>
      </c>
      <c r="E670" s="86">
        <v>154</v>
      </c>
      <c r="F670" s="86">
        <v>424</v>
      </c>
      <c r="G670" s="86">
        <v>11</v>
      </c>
      <c r="H670" s="86">
        <f t="shared" si="36"/>
        <v>938</v>
      </c>
    </row>
    <row r="671" spans="1:8" x14ac:dyDescent="0.45">
      <c r="A671" s="3" t="s">
        <v>40</v>
      </c>
      <c r="B671" s="86">
        <v>0</v>
      </c>
      <c r="C671" s="86">
        <v>0</v>
      </c>
      <c r="D671" s="86">
        <v>0</v>
      </c>
      <c r="E671" s="86">
        <v>0</v>
      </c>
      <c r="F671" s="86">
        <v>0</v>
      </c>
      <c r="G671" s="86">
        <v>0</v>
      </c>
      <c r="H671" s="86">
        <f t="shared" si="36"/>
        <v>0</v>
      </c>
    </row>
    <row r="672" spans="1:8" x14ac:dyDescent="0.45">
      <c r="A672" s="3" t="s">
        <v>52</v>
      </c>
      <c r="B672" s="86">
        <v>0</v>
      </c>
      <c r="C672" s="86">
        <v>0</v>
      </c>
      <c r="D672" s="86">
        <v>0</v>
      </c>
      <c r="E672" s="86">
        <v>0</v>
      </c>
      <c r="F672" s="86">
        <v>0</v>
      </c>
      <c r="G672" s="86">
        <v>0</v>
      </c>
      <c r="H672" s="86">
        <f t="shared" si="36"/>
        <v>0</v>
      </c>
    </row>
    <row r="673" spans="1:9" x14ac:dyDescent="0.45">
      <c r="A673" s="3" t="s">
        <v>53</v>
      </c>
      <c r="B673" s="86">
        <v>0</v>
      </c>
      <c r="C673" s="86">
        <v>0</v>
      </c>
      <c r="D673" s="86">
        <v>0</v>
      </c>
      <c r="E673" s="86">
        <v>0</v>
      </c>
      <c r="F673" s="86">
        <v>0</v>
      </c>
      <c r="G673" s="86">
        <v>0</v>
      </c>
      <c r="H673" s="86">
        <f t="shared" si="36"/>
        <v>0</v>
      </c>
    </row>
    <row r="674" spans="1:9" x14ac:dyDescent="0.45">
      <c r="A674" s="3" t="s">
        <v>15</v>
      </c>
      <c r="B674" s="86">
        <v>0</v>
      </c>
      <c r="C674" s="86">
        <v>0</v>
      </c>
      <c r="D674" s="86">
        <v>22</v>
      </c>
      <c r="E674" s="86">
        <v>0</v>
      </c>
      <c r="F674" s="86">
        <v>0</v>
      </c>
      <c r="G674" s="86">
        <v>10</v>
      </c>
      <c r="H674" s="86">
        <f t="shared" si="36"/>
        <v>32</v>
      </c>
    </row>
    <row r="675" spans="1:9" x14ac:dyDescent="0.45">
      <c r="A675" s="3" t="s">
        <v>54</v>
      </c>
      <c r="B675" s="86">
        <v>0</v>
      </c>
      <c r="C675" s="86">
        <v>0</v>
      </c>
      <c r="D675" s="86">
        <v>0</v>
      </c>
      <c r="E675" s="86">
        <v>0</v>
      </c>
      <c r="F675" s="86">
        <v>0</v>
      </c>
      <c r="G675" s="86">
        <v>0</v>
      </c>
      <c r="H675" s="86">
        <f t="shared" si="36"/>
        <v>0</v>
      </c>
    </row>
    <row r="676" spans="1:9" x14ac:dyDescent="0.45">
      <c r="A676" s="3" t="s">
        <v>47</v>
      </c>
      <c r="B676" s="86">
        <v>0</v>
      </c>
      <c r="C676" s="86">
        <v>0</v>
      </c>
      <c r="D676" s="86">
        <v>30</v>
      </c>
      <c r="E676" s="86">
        <v>2</v>
      </c>
      <c r="F676" s="86">
        <v>10</v>
      </c>
      <c r="G676" s="86">
        <v>0</v>
      </c>
      <c r="H676" s="86">
        <f t="shared" si="36"/>
        <v>42</v>
      </c>
    </row>
    <row r="677" spans="1:9" x14ac:dyDescent="0.45">
      <c r="A677" s="3" t="s">
        <v>16</v>
      </c>
      <c r="B677" s="86">
        <v>0</v>
      </c>
      <c r="C677" s="86">
        <v>0</v>
      </c>
      <c r="D677" s="86">
        <v>0</v>
      </c>
      <c r="E677" s="86">
        <v>0</v>
      </c>
      <c r="F677" s="86">
        <v>0</v>
      </c>
      <c r="G677" s="86">
        <v>0</v>
      </c>
      <c r="H677" s="86">
        <f t="shared" si="36"/>
        <v>0</v>
      </c>
    </row>
    <row r="678" spans="1:9" x14ac:dyDescent="0.45">
      <c r="A678" s="3" t="s">
        <v>55</v>
      </c>
      <c r="B678" s="86">
        <v>0</v>
      </c>
      <c r="C678" s="86">
        <v>0</v>
      </c>
      <c r="D678" s="86">
        <v>0</v>
      </c>
      <c r="E678" s="86">
        <v>0</v>
      </c>
      <c r="F678" s="86">
        <v>0</v>
      </c>
      <c r="G678" s="86">
        <v>0</v>
      </c>
      <c r="H678" s="86">
        <f t="shared" si="36"/>
        <v>0</v>
      </c>
    </row>
    <row r="679" spans="1:9" x14ac:dyDescent="0.45">
      <c r="A679" s="3" t="s">
        <v>17</v>
      </c>
      <c r="B679" s="86">
        <v>0</v>
      </c>
      <c r="C679" s="86">
        <v>0</v>
      </c>
      <c r="D679" s="86">
        <v>0</v>
      </c>
      <c r="E679" s="86">
        <v>0</v>
      </c>
      <c r="F679" s="86">
        <v>0</v>
      </c>
      <c r="G679" s="86">
        <v>1</v>
      </c>
      <c r="H679" s="86">
        <f t="shared" si="36"/>
        <v>1</v>
      </c>
    </row>
    <row r="680" spans="1:9" x14ac:dyDescent="0.45">
      <c r="A680" s="3" t="s">
        <v>23</v>
      </c>
      <c r="B680" s="86">
        <v>0</v>
      </c>
      <c r="C680" s="86">
        <v>0</v>
      </c>
      <c r="D680" s="86">
        <v>0</v>
      </c>
      <c r="E680" s="86">
        <v>0</v>
      </c>
      <c r="F680" s="86">
        <v>0</v>
      </c>
      <c r="G680" s="86">
        <v>0</v>
      </c>
      <c r="H680" s="86">
        <f t="shared" si="36"/>
        <v>0</v>
      </c>
    </row>
    <row r="681" spans="1:9" x14ac:dyDescent="0.45">
      <c r="A681" s="11" t="s">
        <v>24</v>
      </c>
      <c r="B681" s="86">
        <f t="shared" ref="B681:H681" si="37">SUM(B646:B680)</f>
        <v>17</v>
      </c>
      <c r="C681" s="86">
        <f t="shared" si="37"/>
        <v>39</v>
      </c>
      <c r="D681" s="86">
        <f t="shared" si="37"/>
        <v>830</v>
      </c>
      <c r="E681" s="86">
        <f t="shared" si="37"/>
        <v>2811</v>
      </c>
      <c r="F681" s="86">
        <f t="shared" si="37"/>
        <v>4962</v>
      </c>
      <c r="G681" s="86">
        <f t="shared" si="37"/>
        <v>199</v>
      </c>
      <c r="H681" s="86">
        <f t="shared" si="37"/>
        <v>8858</v>
      </c>
    </row>
    <row r="685" spans="1:9" x14ac:dyDescent="0.45">
      <c r="A685" s="37" t="s">
        <v>134</v>
      </c>
      <c r="B685" s="2"/>
    </row>
    <row r="686" spans="1:9" x14ac:dyDescent="0.45">
      <c r="A686" s="1" t="s">
        <v>113</v>
      </c>
      <c r="B686" s="2"/>
    </row>
    <row r="688" spans="1:9" x14ac:dyDescent="0.45">
      <c r="A688" s="2"/>
      <c r="B688" s="2" t="s">
        <v>20</v>
      </c>
      <c r="C688" s="2"/>
      <c r="D688" s="2" t="s">
        <v>21</v>
      </c>
      <c r="E688" s="2"/>
      <c r="F688" s="2"/>
      <c r="G688" s="2"/>
      <c r="H688" s="2"/>
      <c r="I688" s="2"/>
    </row>
    <row r="689" spans="1:9" x14ac:dyDescent="0.45">
      <c r="A689" s="6" t="s">
        <v>19</v>
      </c>
      <c r="B689" s="4">
        <v>24</v>
      </c>
      <c r="C689" s="4">
        <v>29</v>
      </c>
      <c r="D689" s="4">
        <v>4</v>
      </c>
      <c r="E689" s="4">
        <v>9</v>
      </c>
      <c r="F689" s="4">
        <v>14</v>
      </c>
      <c r="G689" s="4">
        <v>19</v>
      </c>
      <c r="H689" s="4" t="s">
        <v>24</v>
      </c>
      <c r="I689" s="2"/>
    </row>
    <row r="690" spans="1:9" x14ac:dyDescent="0.45">
      <c r="A690" s="3" t="s">
        <v>1</v>
      </c>
      <c r="B690" s="86">
        <v>0</v>
      </c>
      <c r="C690" s="86">
        <v>4</v>
      </c>
      <c r="D690" s="86">
        <v>7</v>
      </c>
      <c r="E690" s="86">
        <v>30</v>
      </c>
      <c r="F690" s="86">
        <v>51</v>
      </c>
      <c r="G690" s="86">
        <v>29</v>
      </c>
      <c r="H690" s="86">
        <f>SUM(B690:G690)</f>
        <v>121</v>
      </c>
      <c r="I690" s="2"/>
    </row>
    <row r="691" spans="1:9" x14ac:dyDescent="0.45">
      <c r="A691" s="3" t="s">
        <v>49</v>
      </c>
      <c r="B691" s="86">
        <v>0</v>
      </c>
      <c r="C691" s="86">
        <v>0</v>
      </c>
      <c r="D691" s="86">
        <v>0</v>
      </c>
      <c r="E691" s="86">
        <v>0</v>
      </c>
      <c r="F691" s="86">
        <v>0</v>
      </c>
      <c r="G691" s="86">
        <v>0</v>
      </c>
      <c r="H691" s="86">
        <f t="shared" ref="H691:H724" si="38">SUM(B691:G691)</f>
        <v>0</v>
      </c>
      <c r="I691" s="2"/>
    </row>
    <row r="692" spans="1:9" x14ac:dyDescent="0.45">
      <c r="A692" s="3" t="s">
        <v>45</v>
      </c>
      <c r="B692" s="86">
        <v>0</v>
      </c>
      <c r="C692" s="86">
        <v>0</v>
      </c>
      <c r="D692" s="86">
        <v>0</v>
      </c>
      <c r="E692" s="86">
        <v>0</v>
      </c>
      <c r="F692" s="86">
        <v>0</v>
      </c>
      <c r="G692" s="86">
        <v>1</v>
      </c>
      <c r="H692" s="86">
        <f t="shared" si="38"/>
        <v>1</v>
      </c>
      <c r="I692" s="2"/>
    </row>
    <row r="693" spans="1:9" x14ac:dyDescent="0.45">
      <c r="A693" s="3" t="s">
        <v>41</v>
      </c>
      <c r="B693" s="86">
        <v>3</v>
      </c>
      <c r="C693" s="86">
        <v>9</v>
      </c>
      <c r="D693" s="86">
        <v>75</v>
      </c>
      <c r="E693" s="86">
        <v>1</v>
      </c>
      <c r="F693" s="86">
        <v>4</v>
      </c>
      <c r="G693" s="86">
        <v>0</v>
      </c>
      <c r="H693" s="86">
        <f t="shared" si="38"/>
        <v>92</v>
      </c>
      <c r="I693" s="2"/>
    </row>
    <row r="694" spans="1:9" x14ac:dyDescent="0.45">
      <c r="A694" s="3" t="s">
        <v>2</v>
      </c>
      <c r="B694" s="86">
        <v>66</v>
      </c>
      <c r="C694" s="86">
        <v>27</v>
      </c>
      <c r="D694" s="86">
        <v>240</v>
      </c>
      <c r="E694" s="86">
        <v>11</v>
      </c>
      <c r="F694" s="86">
        <v>6</v>
      </c>
      <c r="G694" s="86">
        <v>3</v>
      </c>
      <c r="H694" s="86">
        <f t="shared" si="38"/>
        <v>353</v>
      </c>
      <c r="I694" s="2"/>
    </row>
    <row r="695" spans="1:9" x14ac:dyDescent="0.45">
      <c r="A695" s="3" t="s">
        <v>43</v>
      </c>
      <c r="B695" s="86">
        <v>0</v>
      </c>
      <c r="C695" s="86">
        <v>0</v>
      </c>
      <c r="D695" s="86">
        <v>4</v>
      </c>
      <c r="E695" s="86">
        <v>2</v>
      </c>
      <c r="F695" s="86">
        <v>1</v>
      </c>
      <c r="G695" s="86">
        <v>1</v>
      </c>
      <c r="H695" s="86">
        <f t="shared" si="38"/>
        <v>8</v>
      </c>
      <c r="I695" s="2"/>
    </row>
    <row r="696" spans="1:9" x14ac:dyDescent="0.45">
      <c r="A696" s="3" t="s">
        <v>3</v>
      </c>
      <c r="B696" s="86">
        <v>27</v>
      </c>
      <c r="C696" s="86">
        <v>17</v>
      </c>
      <c r="D696" s="86">
        <v>5</v>
      </c>
      <c r="E696" s="86">
        <v>6</v>
      </c>
      <c r="F696" s="86">
        <v>2</v>
      </c>
      <c r="G696" s="86">
        <v>3</v>
      </c>
      <c r="H696" s="86">
        <f t="shared" si="38"/>
        <v>60</v>
      </c>
      <c r="I696" s="2"/>
    </row>
    <row r="697" spans="1:9" x14ac:dyDescent="0.45">
      <c r="A697" s="3" t="s">
        <v>4</v>
      </c>
      <c r="B697" s="86">
        <v>1</v>
      </c>
      <c r="C697" s="86">
        <v>2</v>
      </c>
      <c r="D697" s="86">
        <v>0</v>
      </c>
      <c r="E697" s="86">
        <v>0</v>
      </c>
      <c r="F697" s="86">
        <v>0</v>
      </c>
      <c r="G697" s="86">
        <v>0</v>
      </c>
      <c r="H697" s="86">
        <f t="shared" si="38"/>
        <v>3</v>
      </c>
      <c r="I697" s="2"/>
    </row>
    <row r="698" spans="1:9" x14ac:dyDescent="0.45">
      <c r="A698" s="3" t="s">
        <v>48</v>
      </c>
      <c r="B698" s="86">
        <v>0</v>
      </c>
      <c r="C698" s="86">
        <v>0</v>
      </c>
      <c r="D698" s="86">
        <v>0</v>
      </c>
      <c r="E698" s="86">
        <v>0</v>
      </c>
      <c r="F698" s="86">
        <v>1</v>
      </c>
      <c r="G698" s="86">
        <v>1</v>
      </c>
      <c r="H698" s="86">
        <f t="shared" si="38"/>
        <v>2</v>
      </c>
      <c r="I698" s="2"/>
    </row>
    <row r="699" spans="1:9" x14ac:dyDescent="0.45">
      <c r="A699" s="3" t="s">
        <v>6</v>
      </c>
      <c r="B699" s="86">
        <v>0</v>
      </c>
      <c r="C699" s="86">
        <v>0</v>
      </c>
      <c r="D699" s="86">
        <v>0</v>
      </c>
      <c r="E699" s="86">
        <v>0</v>
      </c>
      <c r="F699" s="86">
        <v>0</v>
      </c>
      <c r="G699" s="86">
        <v>0</v>
      </c>
      <c r="H699" s="86">
        <f t="shared" si="38"/>
        <v>0</v>
      </c>
      <c r="I699" s="2"/>
    </row>
    <row r="700" spans="1:9" x14ac:dyDescent="0.45">
      <c r="A700" s="3" t="s">
        <v>7</v>
      </c>
      <c r="B700" s="86">
        <v>0</v>
      </c>
      <c r="C700" s="86">
        <v>0</v>
      </c>
      <c r="D700" s="86">
        <v>2</v>
      </c>
      <c r="E700" s="86">
        <v>1</v>
      </c>
      <c r="F700" s="86">
        <v>8</v>
      </c>
      <c r="G700" s="86">
        <v>8</v>
      </c>
      <c r="H700" s="86">
        <f t="shared" si="38"/>
        <v>19</v>
      </c>
      <c r="I700" s="2"/>
    </row>
    <row r="701" spans="1:9" x14ac:dyDescent="0.45">
      <c r="A701" s="3" t="s">
        <v>50</v>
      </c>
      <c r="B701" s="86">
        <v>0</v>
      </c>
      <c r="C701" s="86">
        <v>0</v>
      </c>
      <c r="D701" s="86">
        <v>1</v>
      </c>
      <c r="E701" s="86">
        <v>1</v>
      </c>
      <c r="F701" s="86">
        <v>2</v>
      </c>
      <c r="G701" s="86">
        <v>0</v>
      </c>
      <c r="H701" s="86">
        <f t="shared" si="38"/>
        <v>4</v>
      </c>
      <c r="I701" s="2"/>
    </row>
    <row r="702" spans="1:9" x14ac:dyDescent="0.45">
      <c r="A702" s="3" t="s">
        <v>51</v>
      </c>
      <c r="B702" s="86">
        <v>0</v>
      </c>
      <c r="C702" s="86">
        <v>0</v>
      </c>
      <c r="D702" s="86">
        <v>0</v>
      </c>
      <c r="E702" s="86">
        <v>0</v>
      </c>
      <c r="F702" s="86">
        <v>0</v>
      </c>
      <c r="G702" s="86">
        <v>0</v>
      </c>
      <c r="H702" s="86">
        <f t="shared" si="38"/>
        <v>0</v>
      </c>
      <c r="I702" s="2"/>
    </row>
    <row r="703" spans="1:9" x14ac:dyDescent="0.45">
      <c r="A703" s="3" t="s">
        <v>42</v>
      </c>
      <c r="B703" s="86">
        <v>0</v>
      </c>
      <c r="C703" s="86">
        <v>0</v>
      </c>
      <c r="D703" s="86">
        <v>7</v>
      </c>
      <c r="E703" s="86">
        <v>0</v>
      </c>
      <c r="F703" s="86">
        <v>0</v>
      </c>
      <c r="G703" s="86">
        <v>0</v>
      </c>
      <c r="H703" s="86">
        <f t="shared" si="38"/>
        <v>7</v>
      </c>
      <c r="I703" s="2"/>
    </row>
    <row r="704" spans="1:9" x14ac:dyDescent="0.45">
      <c r="A704" s="3" t="s">
        <v>8</v>
      </c>
      <c r="B704" s="86">
        <v>0</v>
      </c>
      <c r="C704" s="86">
        <v>0</v>
      </c>
      <c r="D704" s="86">
        <v>0</v>
      </c>
      <c r="E704" s="86">
        <v>0</v>
      </c>
      <c r="F704" s="86">
        <v>5</v>
      </c>
      <c r="G704" s="86">
        <v>3</v>
      </c>
      <c r="H704" s="86">
        <f t="shared" si="38"/>
        <v>8</v>
      </c>
      <c r="I704" s="2"/>
    </row>
    <row r="705" spans="1:9" x14ac:dyDescent="0.45">
      <c r="A705" s="3" t="s">
        <v>9</v>
      </c>
      <c r="B705" s="86">
        <v>0</v>
      </c>
      <c r="C705" s="86">
        <v>123</v>
      </c>
      <c r="D705" s="86">
        <v>500</v>
      </c>
      <c r="E705" s="86">
        <v>2001</v>
      </c>
      <c r="F705" s="86">
        <v>256</v>
      </c>
      <c r="G705" s="86">
        <v>0</v>
      </c>
      <c r="H705" s="86">
        <f t="shared" si="38"/>
        <v>2880</v>
      </c>
      <c r="I705" s="2"/>
    </row>
    <row r="706" spans="1:9" x14ac:dyDescent="0.45">
      <c r="A706" s="3" t="s">
        <v>44</v>
      </c>
      <c r="B706" s="86">
        <v>0</v>
      </c>
      <c r="C706" s="86">
        <v>0</v>
      </c>
      <c r="D706" s="86">
        <v>0</v>
      </c>
      <c r="E706" s="86">
        <v>0</v>
      </c>
      <c r="F706" s="86">
        <v>1</v>
      </c>
      <c r="G706" s="86">
        <v>0</v>
      </c>
      <c r="H706" s="86">
        <f t="shared" si="38"/>
        <v>1</v>
      </c>
      <c r="I706" s="2"/>
    </row>
    <row r="707" spans="1:9" x14ac:dyDescent="0.45">
      <c r="A707" s="3" t="s">
        <v>10</v>
      </c>
      <c r="B707" s="86">
        <v>0</v>
      </c>
      <c r="C707" s="86">
        <v>3</v>
      </c>
      <c r="D707" s="86">
        <v>12</v>
      </c>
      <c r="E707" s="86">
        <v>1</v>
      </c>
      <c r="F707" s="86">
        <v>54</v>
      </c>
      <c r="G707" s="86">
        <v>0</v>
      </c>
      <c r="H707" s="86">
        <f t="shared" si="38"/>
        <v>70</v>
      </c>
      <c r="I707" s="2"/>
    </row>
    <row r="708" spans="1:9" x14ac:dyDescent="0.45">
      <c r="A708" s="3" t="s">
        <v>11</v>
      </c>
      <c r="B708" s="86">
        <v>0</v>
      </c>
      <c r="C708" s="86">
        <v>114</v>
      </c>
      <c r="D708" s="86">
        <v>3115</v>
      </c>
      <c r="E708" s="86">
        <v>6623</v>
      </c>
      <c r="F708" s="86">
        <v>6028</v>
      </c>
      <c r="G708" s="86">
        <v>477</v>
      </c>
      <c r="H708" s="86">
        <f t="shared" si="38"/>
        <v>16357</v>
      </c>
      <c r="I708" s="2"/>
    </row>
    <row r="709" spans="1:9" x14ac:dyDescent="0.45">
      <c r="A709" s="3" t="s">
        <v>12</v>
      </c>
      <c r="B709" s="86">
        <v>2</v>
      </c>
      <c r="C709" s="86">
        <v>9</v>
      </c>
      <c r="D709" s="86">
        <v>9</v>
      </c>
      <c r="E709" s="86">
        <v>50</v>
      </c>
      <c r="F709" s="86">
        <v>30</v>
      </c>
      <c r="G709" s="86">
        <v>2</v>
      </c>
      <c r="H709" s="86">
        <f t="shared" si="38"/>
        <v>102</v>
      </c>
      <c r="I709" s="2"/>
    </row>
    <row r="710" spans="1:9" x14ac:dyDescent="0.45">
      <c r="A710" s="3" t="s">
        <v>32</v>
      </c>
      <c r="B710" s="86">
        <v>0</v>
      </c>
      <c r="C710" s="86">
        <v>0</v>
      </c>
      <c r="D710" s="86">
        <v>0</v>
      </c>
      <c r="E710" s="86">
        <v>0</v>
      </c>
      <c r="F710" s="86">
        <v>25</v>
      </c>
      <c r="G710" s="86">
        <v>8</v>
      </c>
      <c r="H710" s="86">
        <f t="shared" si="38"/>
        <v>33</v>
      </c>
      <c r="I710" s="2"/>
    </row>
    <row r="711" spans="1:9" x14ac:dyDescent="0.45">
      <c r="A711" s="3" t="s">
        <v>18</v>
      </c>
      <c r="B711" s="86">
        <v>0</v>
      </c>
      <c r="C711" s="86">
        <v>18</v>
      </c>
      <c r="D711" s="86">
        <v>66</v>
      </c>
      <c r="E711" s="86">
        <v>715</v>
      </c>
      <c r="F711" s="86">
        <v>45</v>
      </c>
      <c r="G711" s="86">
        <v>0</v>
      </c>
      <c r="H711" s="86">
        <f t="shared" si="38"/>
        <v>844</v>
      </c>
      <c r="I711" s="2"/>
    </row>
    <row r="712" spans="1:9" x14ac:dyDescent="0.45">
      <c r="A712" s="3" t="s">
        <v>46</v>
      </c>
      <c r="B712" s="86">
        <v>0</v>
      </c>
      <c r="C712" s="86">
        <v>1</v>
      </c>
      <c r="D712" s="86">
        <v>0</v>
      </c>
      <c r="E712" s="86">
        <v>0</v>
      </c>
      <c r="F712" s="86">
        <v>0</v>
      </c>
      <c r="G712" s="86">
        <v>7</v>
      </c>
      <c r="H712" s="86">
        <f t="shared" si="38"/>
        <v>8</v>
      </c>
      <c r="I712" s="2"/>
    </row>
    <row r="713" spans="1:9" x14ac:dyDescent="0.45">
      <c r="A713" s="3" t="s">
        <v>13</v>
      </c>
      <c r="B713" s="86">
        <v>0</v>
      </c>
      <c r="C713" s="86">
        <v>0</v>
      </c>
      <c r="D713" s="86">
        <v>0</v>
      </c>
      <c r="E713" s="86">
        <v>0</v>
      </c>
      <c r="F713" s="86">
        <v>1</v>
      </c>
      <c r="G713" s="86">
        <v>0</v>
      </c>
      <c r="H713" s="86">
        <f t="shared" si="38"/>
        <v>1</v>
      </c>
      <c r="I713" s="2"/>
    </row>
    <row r="714" spans="1:9" x14ac:dyDescent="0.45">
      <c r="A714" s="3" t="s">
        <v>14</v>
      </c>
      <c r="B714" s="86">
        <v>5</v>
      </c>
      <c r="C714" s="86">
        <v>28</v>
      </c>
      <c r="D714" s="86">
        <v>257</v>
      </c>
      <c r="E714" s="86">
        <v>654</v>
      </c>
      <c r="F714" s="86">
        <v>193</v>
      </c>
      <c r="G714" s="86">
        <v>43</v>
      </c>
      <c r="H714" s="86">
        <f t="shared" si="38"/>
        <v>1180</v>
      </c>
      <c r="I714" s="2"/>
    </row>
    <row r="715" spans="1:9" x14ac:dyDescent="0.45">
      <c r="A715" s="3" t="s">
        <v>40</v>
      </c>
      <c r="B715" s="86">
        <v>0</v>
      </c>
      <c r="C715" s="86">
        <v>0</v>
      </c>
      <c r="D715" s="86">
        <v>1</v>
      </c>
      <c r="E715" s="86">
        <v>0</v>
      </c>
      <c r="F715" s="86">
        <v>3</v>
      </c>
      <c r="G715" s="86">
        <v>0</v>
      </c>
      <c r="H715" s="86">
        <f t="shared" si="38"/>
        <v>4</v>
      </c>
      <c r="I715" s="2"/>
    </row>
    <row r="716" spans="1:9" x14ac:dyDescent="0.45">
      <c r="A716" s="3" t="s">
        <v>52</v>
      </c>
      <c r="B716" s="86">
        <v>0</v>
      </c>
      <c r="C716" s="86">
        <v>0</v>
      </c>
      <c r="D716" s="86">
        <v>0</v>
      </c>
      <c r="E716" s="86">
        <v>0</v>
      </c>
      <c r="F716" s="86">
        <v>0</v>
      </c>
      <c r="G716" s="86">
        <v>6</v>
      </c>
      <c r="H716" s="86">
        <f t="shared" si="38"/>
        <v>6</v>
      </c>
      <c r="I716" s="2"/>
    </row>
    <row r="717" spans="1:9" x14ac:dyDescent="0.45">
      <c r="A717" s="3" t="s">
        <v>53</v>
      </c>
      <c r="B717" s="86">
        <v>0</v>
      </c>
      <c r="C717" s="86">
        <v>0</v>
      </c>
      <c r="D717" s="86">
        <v>0</v>
      </c>
      <c r="E717" s="86">
        <v>0</v>
      </c>
      <c r="F717" s="86">
        <v>0</v>
      </c>
      <c r="G717" s="86">
        <v>0</v>
      </c>
      <c r="H717" s="86">
        <f t="shared" si="38"/>
        <v>0</v>
      </c>
      <c r="I717" s="2"/>
    </row>
    <row r="718" spans="1:9" x14ac:dyDescent="0.45">
      <c r="A718" s="3" t="s">
        <v>15</v>
      </c>
      <c r="B718" s="86">
        <v>0</v>
      </c>
      <c r="C718" s="86">
        <v>1</v>
      </c>
      <c r="D718" s="86">
        <v>60</v>
      </c>
      <c r="E718" s="86">
        <v>2</v>
      </c>
      <c r="F718" s="86">
        <v>11</v>
      </c>
      <c r="G718" s="86">
        <v>2</v>
      </c>
      <c r="H718" s="86">
        <f t="shared" si="38"/>
        <v>76</v>
      </c>
      <c r="I718" s="2"/>
    </row>
    <row r="719" spans="1:9" x14ac:dyDescent="0.45">
      <c r="A719" s="3" t="s">
        <v>54</v>
      </c>
      <c r="B719" s="86">
        <v>0</v>
      </c>
      <c r="C719" s="86">
        <v>0</v>
      </c>
      <c r="D719" s="86">
        <v>1</v>
      </c>
      <c r="E719" s="86">
        <v>0</v>
      </c>
      <c r="F719" s="86">
        <v>0</v>
      </c>
      <c r="G719" s="86">
        <v>0</v>
      </c>
      <c r="H719" s="86">
        <f t="shared" si="38"/>
        <v>1</v>
      </c>
      <c r="I719" s="2"/>
    </row>
    <row r="720" spans="1:9" x14ac:dyDescent="0.45">
      <c r="A720" s="3" t="s">
        <v>47</v>
      </c>
      <c r="B720" s="86">
        <v>0</v>
      </c>
      <c r="C720" s="86">
        <v>0</v>
      </c>
      <c r="D720" s="86">
        <v>19</v>
      </c>
      <c r="E720" s="86">
        <v>21</v>
      </c>
      <c r="F720" s="86">
        <v>21</v>
      </c>
      <c r="G720" s="86">
        <v>14</v>
      </c>
      <c r="H720" s="86">
        <f t="shared" si="38"/>
        <v>75</v>
      </c>
      <c r="I720" s="2"/>
    </row>
    <row r="721" spans="1:9" x14ac:dyDescent="0.45">
      <c r="A721" s="3" t="s">
        <v>16</v>
      </c>
      <c r="B721" s="86">
        <v>0</v>
      </c>
      <c r="C721" s="86">
        <v>0</v>
      </c>
      <c r="D721" s="86">
        <v>0</v>
      </c>
      <c r="E721" s="86">
        <v>0</v>
      </c>
      <c r="F721" s="86">
        <v>0</v>
      </c>
      <c r="G721" s="86">
        <v>0</v>
      </c>
      <c r="H721" s="86">
        <f t="shared" si="38"/>
        <v>0</v>
      </c>
      <c r="I721" s="2"/>
    </row>
    <row r="722" spans="1:9" x14ac:dyDescent="0.45">
      <c r="A722" s="3" t="s">
        <v>55</v>
      </c>
      <c r="B722" s="86">
        <v>0</v>
      </c>
      <c r="C722" s="86">
        <v>0</v>
      </c>
      <c r="D722" s="86">
        <v>0</v>
      </c>
      <c r="E722" s="86">
        <v>0</v>
      </c>
      <c r="F722" s="86">
        <v>0</v>
      </c>
      <c r="G722" s="86">
        <v>0</v>
      </c>
      <c r="H722" s="86">
        <f t="shared" si="38"/>
        <v>0</v>
      </c>
      <c r="I722" s="2"/>
    </row>
    <row r="723" spans="1:9" x14ac:dyDescent="0.45">
      <c r="A723" s="3" t="s">
        <v>17</v>
      </c>
      <c r="B723" s="86">
        <v>0</v>
      </c>
      <c r="C723" s="86">
        <v>0</v>
      </c>
      <c r="D723" s="86">
        <v>500</v>
      </c>
      <c r="E723" s="86">
        <v>500</v>
      </c>
      <c r="F723" s="86">
        <v>500</v>
      </c>
      <c r="G723" s="86">
        <v>1</v>
      </c>
      <c r="H723" s="86">
        <f t="shared" si="38"/>
        <v>1501</v>
      </c>
      <c r="I723" s="2"/>
    </row>
    <row r="724" spans="1:9" x14ac:dyDescent="0.45">
      <c r="A724" s="3" t="s">
        <v>23</v>
      </c>
      <c r="B724" s="86">
        <v>0</v>
      </c>
      <c r="C724" s="86">
        <v>0</v>
      </c>
      <c r="D724" s="86">
        <v>0</v>
      </c>
      <c r="E724" s="86">
        <v>0</v>
      </c>
      <c r="F724" s="86">
        <v>0</v>
      </c>
      <c r="G724" s="86">
        <v>0</v>
      </c>
      <c r="H724" s="86">
        <f t="shared" si="38"/>
        <v>0</v>
      </c>
      <c r="I724" s="2"/>
    </row>
    <row r="725" spans="1:9" x14ac:dyDescent="0.45">
      <c r="A725" s="11" t="s">
        <v>24</v>
      </c>
      <c r="B725" s="86">
        <f t="shared" ref="B725:H725" si="39">SUM(B690:B724)</f>
        <v>104</v>
      </c>
      <c r="C725" s="86">
        <f t="shared" si="39"/>
        <v>356</v>
      </c>
      <c r="D725" s="86">
        <f t="shared" si="39"/>
        <v>4881</v>
      </c>
      <c r="E725" s="86">
        <f t="shared" si="39"/>
        <v>10619</v>
      </c>
      <c r="F725" s="86">
        <f t="shared" si="39"/>
        <v>7248</v>
      </c>
      <c r="G725" s="86">
        <f t="shared" si="39"/>
        <v>609</v>
      </c>
      <c r="H725" s="86">
        <f t="shared" si="39"/>
        <v>23817</v>
      </c>
      <c r="I725" s="2"/>
    </row>
    <row r="726" spans="1:9" x14ac:dyDescent="0.45">
      <c r="A726" s="2"/>
      <c r="B726" s="2"/>
      <c r="C726" s="2"/>
      <c r="D726" s="2"/>
      <c r="E726" s="2"/>
      <c r="F726" s="2"/>
      <c r="G726" s="2"/>
      <c r="H726" s="2"/>
      <c r="I726" s="2"/>
    </row>
    <row r="727" spans="1:9" x14ac:dyDescent="0.45">
      <c r="A727" s="2"/>
      <c r="B727" s="2"/>
      <c r="C727" s="2"/>
      <c r="D727" s="2"/>
      <c r="E727" s="2"/>
      <c r="F727" s="2"/>
      <c r="G727" s="2"/>
      <c r="H727" s="2"/>
      <c r="I727" s="2"/>
    </row>
    <row r="728" spans="1:9" x14ac:dyDescent="0.45">
      <c r="A728" s="37" t="s">
        <v>134</v>
      </c>
      <c r="B728" s="2"/>
      <c r="C728" s="2"/>
      <c r="D728" s="2"/>
      <c r="E728" s="2"/>
      <c r="F728" s="2"/>
      <c r="G728" s="2"/>
      <c r="H728" s="2"/>
      <c r="I728" s="2"/>
    </row>
    <row r="729" spans="1:9" x14ac:dyDescent="0.45">
      <c r="A729" s="1" t="s">
        <v>115</v>
      </c>
      <c r="B729" s="2"/>
      <c r="C729" s="2"/>
      <c r="D729" s="2"/>
      <c r="E729" s="2"/>
      <c r="F729" s="2"/>
      <c r="G729" s="2"/>
      <c r="H729" s="2"/>
      <c r="I729" s="2"/>
    </row>
    <row r="730" spans="1:9" x14ac:dyDescent="0.45">
      <c r="A730" s="2"/>
      <c r="B730" s="2" t="s">
        <v>20</v>
      </c>
      <c r="C730" s="2"/>
      <c r="D730" s="2" t="s">
        <v>21</v>
      </c>
      <c r="E730" s="2"/>
      <c r="F730" s="2"/>
      <c r="G730" s="2"/>
      <c r="H730" s="2"/>
      <c r="I730" s="2"/>
    </row>
    <row r="731" spans="1:9" x14ac:dyDescent="0.45">
      <c r="A731" s="6" t="s">
        <v>19</v>
      </c>
      <c r="B731" s="4">
        <v>24</v>
      </c>
      <c r="C731" s="4">
        <v>29</v>
      </c>
      <c r="D731" s="4">
        <v>4</v>
      </c>
      <c r="E731" s="4">
        <v>9</v>
      </c>
      <c r="F731" s="4">
        <v>14</v>
      </c>
      <c r="G731" s="4">
        <v>19</v>
      </c>
      <c r="H731" s="4" t="s">
        <v>24</v>
      </c>
      <c r="I731" s="2"/>
    </row>
    <row r="732" spans="1:9" x14ac:dyDescent="0.45">
      <c r="A732" s="3" t="s">
        <v>1</v>
      </c>
      <c r="B732" s="86">
        <v>0</v>
      </c>
      <c r="C732" s="86">
        <v>4</v>
      </c>
      <c r="D732" s="86">
        <v>7</v>
      </c>
      <c r="E732" s="86">
        <v>30</v>
      </c>
      <c r="F732" s="86">
        <v>50</v>
      </c>
      <c r="G732" s="86">
        <v>27</v>
      </c>
      <c r="H732" s="86">
        <v>118</v>
      </c>
      <c r="I732" s="86"/>
    </row>
    <row r="733" spans="1:9" x14ac:dyDescent="0.45">
      <c r="A733" s="3" t="s">
        <v>49</v>
      </c>
      <c r="B733" s="86">
        <v>0</v>
      </c>
      <c r="C733" s="86">
        <v>0</v>
      </c>
      <c r="D733" s="86">
        <v>0</v>
      </c>
      <c r="E733" s="86">
        <v>0</v>
      </c>
      <c r="F733" s="86">
        <v>0</v>
      </c>
      <c r="G733" s="86">
        <v>0</v>
      </c>
      <c r="H733" s="86">
        <v>0</v>
      </c>
      <c r="I733" s="86"/>
    </row>
    <row r="734" spans="1:9" x14ac:dyDescent="0.45">
      <c r="A734" s="3" t="s">
        <v>45</v>
      </c>
      <c r="B734" s="86">
        <v>0</v>
      </c>
      <c r="C734" s="86">
        <v>0</v>
      </c>
      <c r="D734" s="86">
        <v>0</v>
      </c>
      <c r="E734" s="86">
        <v>0</v>
      </c>
      <c r="F734" s="86">
        <v>0</v>
      </c>
      <c r="G734" s="86">
        <v>1</v>
      </c>
      <c r="H734" s="86">
        <v>1</v>
      </c>
      <c r="I734" s="86"/>
    </row>
    <row r="735" spans="1:9" x14ac:dyDescent="0.45">
      <c r="A735" s="3" t="s">
        <v>41</v>
      </c>
      <c r="B735" s="86">
        <v>3</v>
      </c>
      <c r="C735" s="86">
        <v>9</v>
      </c>
      <c r="D735" s="86">
        <v>73</v>
      </c>
      <c r="E735" s="86">
        <v>1</v>
      </c>
      <c r="F735" s="86">
        <v>4</v>
      </c>
      <c r="G735" s="86">
        <v>0</v>
      </c>
      <c r="H735" s="86">
        <v>90</v>
      </c>
      <c r="I735" s="86"/>
    </row>
    <row r="736" spans="1:9" x14ac:dyDescent="0.45">
      <c r="A736" s="3" t="s">
        <v>2</v>
      </c>
      <c r="B736" s="86">
        <v>66</v>
      </c>
      <c r="C736" s="86">
        <v>25</v>
      </c>
      <c r="D736" s="86">
        <v>240</v>
      </c>
      <c r="E736" s="86">
        <v>11</v>
      </c>
      <c r="F736" s="86">
        <v>6</v>
      </c>
      <c r="G736" s="86">
        <v>3</v>
      </c>
      <c r="H736" s="86">
        <v>351</v>
      </c>
      <c r="I736" s="86"/>
    </row>
    <row r="737" spans="1:9" x14ac:dyDescent="0.45">
      <c r="A737" s="3" t="s">
        <v>43</v>
      </c>
      <c r="B737" s="86">
        <v>0</v>
      </c>
      <c r="C737" s="86">
        <v>0</v>
      </c>
      <c r="D737" s="86">
        <v>0</v>
      </c>
      <c r="E737" s="86">
        <v>0</v>
      </c>
      <c r="F737" s="86">
        <v>0</v>
      </c>
      <c r="G737" s="86">
        <v>0</v>
      </c>
      <c r="H737" s="86">
        <v>0</v>
      </c>
      <c r="I737" s="86"/>
    </row>
    <row r="738" spans="1:9" x14ac:dyDescent="0.45">
      <c r="A738" s="3" t="s">
        <v>3</v>
      </c>
      <c r="B738" s="86">
        <v>22</v>
      </c>
      <c r="C738" s="86">
        <v>14</v>
      </c>
      <c r="D738" s="86">
        <v>3</v>
      </c>
      <c r="E738" s="86">
        <v>4</v>
      </c>
      <c r="F738" s="86">
        <v>0</v>
      </c>
      <c r="G738" s="86">
        <v>1</v>
      </c>
      <c r="H738" s="86">
        <v>44</v>
      </c>
      <c r="I738" s="86"/>
    </row>
    <row r="739" spans="1:9" x14ac:dyDescent="0.45">
      <c r="A739" s="3" t="s">
        <v>4</v>
      </c>
      <c r="B739" s="86">
        <v>1</v>
      </c>
      <c r="C739" s="86">
        <v>2</v>
      </c>
      <c r="D739" s="86">
        <v>0</v>
      </c>
      <c r="E739" s="86">
        <v>0</v>
      </c>
      <c r="F739" s="86">
        <v>0</v>
      </c>
      <c r="G739" s="86">
        <v>0</v>
      </c>
      <c r="H739" s="86">
        <v>3</v>
      </c>
      <c r="I739" s="86"/>
    </row>
    <row r="740" spans="1:9" x14ac:dyDescent="0.45">
      <c r="A740" s="3" t="s">
        <v>48</v>
      </c>
      <c r="B740" s="86">
        <v>0</v>
      </c>
      <c r="C740" s="86">
        <v>0</v>
      </c>
      <c r="D740" s="86">
        <v>0</v>
      </c>
      <c r="E740" s="86">
        <v>0</v>
      </c>
      <c r="F740" s="86">
        <v>1</v>
      </c>
      <c r="G740" s="86">
        <v>1</v>
      </c>
      <c r="H740" s="86">
        <v>2</v>
      </c>
      <c r="I740" s="86"/>
    </row>
    <row r="741" spans="1:9" x14ac:dyDescent="0.45">
      <c r="A741" s="3" t="s">
        <v>6</v>
      </c>
      <c r="B741" s="86">
        <v>0</v>
      </c>
      <c r="C741" s="86">
        <v>0</v>
      </c>
      <c r="D741" s="86">
        <v>0</v>
      </c>
      <c r="E741" s="86">
        <v>0</v>
      </c>
      <c r="F741" s="86">
        <v>0</v>
      </c>
      <c r="G741" s="86">
        <v>0</v>
      </c>
      <c r="H741" s="86">
        <v>0</v>
      </c>
      <c r="I741" s="86"/>
    </row>
    <row r="742" spans="1:9" x14ac:dyDescent="0.45">
      <c r="A742" s="3" t="s">
        <v>7</v>
      </c>
      <c r="B742" s="86">
        <v>0</v>
      </c>
      <c r="C742" s="86">
        <v>0</v>
      </c>
      <c r="D742" s="86">
        <v>2</v>
      </c>
      <c r="E742" s="86">
        <v>1</v>
      </c>
      <c r="F742" s="86">
        <v>8</v>
      </c>
      <c r="G742" s="86">
        <v>0</v>
      </c>
      <c r="H742" s="86">
        <v>11</v>
      </c>
      <c r="I742" s="86"/>
    </row>
    <row r="743" spans="1:9" x14ac:dyDescent="0.45">
      <c r="A743" s="3" t="s">
        <v>50</v>
      </c>
      <c r="B743" s="86">
        <v>0</v>
      </c>
      <c r="C743" s="86">
        <v>0</v>
      </c>
      <c r="D743" s="86">
        <v>1</v>
      </c>
      <c r="E743" s="86">
        <v>1</v>
      </c>
      <c r="F743" s="86">
        <v>2</v>
      </c>
      <c r="G743" s="86">
        <v>0</v>
      </c>
      <c r="H743" s="86">
        <v>4</v>
      </c>
      <c r="I743" s="86"/>
    </row>
    <row r="744" spans="1:9" x14ac:dyDescent="0.45">
      <c r="A744" s="3" t="s">
        <v>51</v>
      </c>
      <c r="B744" s="86">
        <v>0</v>
      </c>
      <c r="C744" s="86">
        <v>0</v>
      </c>
      <c r="D744" s="86">
        <v>0</v>
      </c>
      <c r="E744" s="86">
        <v>0</v>
      </c>
      <c r="F744" s="86">
        <v>0</v>
      </c>
      <c r="G744" s="86">
        <v>0</v>
      </c>
      <c r="H744" s="86">
        <v>0</v>
      </c>
      <c r="I744" s="86"/>
    </row>
    <row r="745" spans="1:9" x14ac:dyDescent="0.45">
      <c r="A745" s="3" t="s">
        <v>42</v>
      </c>
      <c r="B745" s="86">
        <v>0</v>
      </c>
      <c r="C745" s="86">
        <v>0</v>
      </c>
      <c r="D745" s="86">
        <v>7</v>
      </c>
      <c r="E745" s="86">
        <v>0</v>
      </c>
      <c r="F745" s="86">
        <v>0</v>
      </c>
      <c r="G745" s="86">
        <v>0</v>
      </c>
      <c r="H745" s="86">
        <v>7</v>
      </c>
      <c r="I745" s="86"/>
    </row>
    <row r="746" spans="1:9" x14ac:dyDescent="0.45">
      <c r="A746" s="3" t="s">
        <v>8</v>
      </c>
      <c r="B746" s="86">
        <v>0</v>
      </c>
      <c r="C746" s="86">
        <v>0</v>
      </c>
      <c r="D746" s="86">
        <v>0</v>
      </c>
      <c r="E746" s="86">
        <v>0</v>
      </c>
      <c r="F746" s="86">
        <v>4</v>
      </c>
      <c r="G746" s="86">
        <v>3</v>
      </c>
      <c r="H746" s="86">
        <v>7</v>
      </c>
      <c r="I746" s="86"/>
    </row>
    <row r="747" spans="1:9" x14ac:dyDescent="0.45">
      <c r="A747" s="3" t="s">
        <v>9</v>
      </c>
      <c r="B747" s="86">
        <v>0</v>
      </c>
      <c r="C747" s="86">
        <v>40</v>
      </c>
      <c r="D747" s="86">
        <v>500</v>
      </c>
      <c r="E747" s="86">
        <v>1</v>
      </c>
      <c r="F747" s="86">
        <v>0</v>
      </c>
      <c r="G747" s="86">
        <v>0</v>
      </c>
      <c r="H747" s="86">
        <v>541</v>
      </c>
      <c r="I747" s="86"/>
    </row>
    <row r="748" spans="1:9" x14ac:dyDescent="0.45">
      <c r="A748" s="3" t="s">
        <v>44</v>
      </c>
      <c r="B748" s="86">
        <v>0</v>
      </c>
      <c r="C748" s="86">
        <v>0</v>
      </c>
      <c r="D748" s="86">
        <v>0</v>
      </c>
      <c r="E748" s="86">
        <v>0</v>
      </c>
      <c r="F748" s="86">
        <v>1</v>
      </c>
      <c r="G748" s="86">
        <v>0</v>
      </c>
      <c r="H748" s="86">
        <v>1</v>
      </c>
      <c r="I748" s="86"/>
    </row>
    <row r="749" spans="1:9" x14ac:dyDescent="0.45">
      <c r="A749" s="3" t="s">
        <v>10</v>
      </c>
      <c r="B749" s="86">
        <v>0</v>
      </c>
      <c r="C749" s="86">
        <v>0</v>
      </c>
      <c r="D749" s="86">
        <v>12</v>
      </c>
      <c r="E749" s="86">
        <v>0</v>
      </c>
      <c r="F749" s="86">
        <v>15</v>
      </c>
      <c r="G749" s="86">
        <v>0</v>
      </c>
      <c r="H749" s="86">
        <v>27</v>
      </c>
      <c r="I749" s="86"/>
    </row>
    <row r="750" spans="1:9" x14ac:dyDescent="0.45">
      <c r="A750" s="3" t="s">
        <v>11</v>
      </c>
      <c r="B750" s="86">
        <v>0</v>
      </c>
      <c r="C750" s="86">
        <v>114</v>
      </c>
      <c r="D750" s="86">
        <v>3115</v>
      </c>
      <c r="E750" s="86">
        <v>6443</v>
      </c>
      <c r="F750" s="86">
        <v>5903</v>
      </c>
      <c r="G750" s="86">
        <v>465</v>
      </c>
      <c r="H750" s="86">
        <v>16040</v>
      </c>
      <c r="I750" s="86"/>
    </row>
    <row r="751" spans="1:9" x14ac:dyDescent="0.45">
      <c r="A751" s="3" t="s">
        <v>12</v>
      </c>
      <c r="B751" s="86">
        <v>2</v>
      </c>
      <c r="C751" s="86">
        <v>9</v>
      </c>
      <c r="D751" s="86">
        <v>9</v>
      </c>
      <c r="E751" s="86">
        <v>48</v>
      </c>
      <c r="F751" s="86">
        <v>30</v>
      </c>
      <c r="G751" s="86">
        <v>2</v>
      </c>
      <c r="H751" s="86">
        <v>100</v>
      </c>
      <c r="I751" s="86"/>
    </row>
    <row r="752" spans="1:9" x14ac:dyDescent="0.45">
      <c r="A752" s="3" t="s">
        <v>32</v>
      </c>
      <c r="B752" s="86">
        <v>0</v>
      </c>
      <c r="C752" s="86">
        <v>0</v>
      </c>
      <c r="D752" s="86">
        <v>0</v>
      </c>
      <c r="E752" s="86">
        <v>0</v>
      </c>
      <c r="F752" s="86">
        <v>25</v>
      </c>
      <c r="G752" s="86">
        <v>8</v>
      </c>
      <c r="H752" s="86">
        <v>33</v>
      </c>
      <c r="I752" s="86"/>
    </row>
    <row r="753" spans="1:9" x14ac:dyDescent="0.45">
      <c r="A753" s="3" t="s">
        <v>18</v>
      </c>
      <c r="B753" s="86">
        <v>0</v>
      </c>
      <c r="C753" s="86">
        <v>13</v>
      </c>
      <c r="D753" s="86">
        <v>44</v>
      </c>
      <c r="E753" s="86">
        <v>515</v>
      </c>
      <c r="F753" s="86">
        <v>45</v>
      </c>
      <c r="G753" s="86">
        <v>0</v>
      </c>
      <c r="H753" s="86">
        <v>617</v>
      </c>
      <c r="I753" s="86"/>
    </row>
    <row r="754" spans="1:9" x14ac:dyDescent="0.45">
      <c r="A754" s="3" t="s">
        <v>46</v>
      </c>
      <c r="B754" s="86">
        <v>0</v>
      </c>
      <c r="C754" s="86">
        <v>1</v>
      </c>
      <c r="D754" s="86">
        <v>0</v>
      </c>
      <c r="E754" s="86">
        <v>0</v>
      </c>
      <c r="F754" s="86">
        <v>0</v>
      </c>
      <c r="G754" s="86">
        <v>7</v>
      </c>
      <c r="H754" s="86">
        <v>8</v>
      </c>
      <c r="I754" s="86"/>
    </row>
    <row r="755" spans="1:9" x14ac:dyDescent="0.45">
      <c r="A755" s="3" t="s">
        <v>13</v>
      </c>
      <c r="B755" s="86">
        <v>0</v>
      </c>
      <c r="C755" s="86">
        <v>0</v>
      </c>
      <c r="D755" s="86">
        <v>0</v>
      </c>
      <c r="E755" s="86">
        <v>0</v>
      </c>
      <c r="F755" s="86">
        <v>1</v>
      </c>
      <c r="G755" s="86">
        <v>0</v>
      </c>
      <c r="H755" s="86">
        <v>1</v>
      </c>
      <c r="I755" s="86"/>
    </row>
    <row r="756" spans="1:9" x14ac:dyDescent="0.45">
      <c r="A756" s="3" t="s">
        <v>14</v>
      </c>
      <c r="B756" s="86">
        <v>5</v>
      </c>
      <c r="C756" s="86">
        <v>28</v>
      </c>
      <c r="D756" s="86">
        <v>257</v>
      </c>
      <c r="E756" s="86">
        <v>634</v>
      </c>
      <c r="F756" s="86">
        <v>190</v>
      </c>
      <c r="G756" s="86">
        <v>43</v>
      </c>
      <c r="H756" s="86">
        <v>1157</v>
      </c>
      <c r="I756" s="86"/>
    </row>
    <row r="757" spans="1:9" x14ac:dyDescent="0.45">
      <c r="A757" s="3" t="s">
        <v>40</v>
      </c>
      <c r="B757" s="86">
        <v>0</v>
      </c>
      <c r="C757" s="86">
        <v>0</v>
      </c>
      <c r="D757" s="86">
        <v>1</v>
      </c>
      <c r="E757" s="86">
        <v>0</v>
      </c>
      <c r="F757" s="86">
        <v>0</v>
      </c>
      <c r="G757" s="86">
        <v>0</v>
      </c>
      <c r="H757" s="86">
        <v>1</v>
      </c>
      <c r="I757" s="86"/>
    </row>
    <row r="758" spans="1:9" x14ac:dyDescent="0.45">
      <c r="A758" s="3" t="s">
        <v>52</v>
      </c>
      <c r="B758" s="86">
        <v>0</v>
      </c>
      <c r="C758" s="86">
        <v>0</v>
      </c>
      <c r="D758" s="86">
        <v>0</v>
      </c>
      <c r="E758" s="86">
        <v>0</v>
      </c>
      <c r="F758" s="86">
        <v>0</v>
      </c>
      <c r="G758" s="86">
        <v>6</v>
      </c>
      <c r="H758" s="86">
        <v>6</v>
      </c>
      <c r="I758" s="86"/>
    </row>
    <row r="759" spans="1:9" x14ac:dyDescent="0.45">
      <c r="A759" s="3" t="s">
        <v>53</v>
      </c>
      <c r="B759" s="86">
        <v>0</v>
      </c>
      <c r="C759" s="86">
        <v>0</v>
      </c>
      <c r="D759" s="86">
        <v>0</v>
      </c>
      <c r="E759" s="86">
        <v>0</v>
      </c>
      <c r="F759" s="86">
        <v>0</v>
      </c>
      <c r="G759" s="86">
        <v>0</v>
      </c>
      <c r="H759" s="86">
        <v>0</v>
      </c>
      <c r="I759" s="86"/>
    </row>
    <row r="760" spans="1:9" x14ac:dyDescent="0.45">
      <c r="A760" s="3" t="s">
        <v>15</v>
      </c>
      <c r="B760" s="86">
        <v>0</v>
      </c>
      <c r="C760" s="86">
        <v>1</v>
      </c>
      <c r="D760" s="86">
        <v>60</v>
      </c>
      <c r="E760" s="86">
        <v>2</v>
      </c>
      <c r="F760" s="86">
        <v>0</v>
      </c>
      <c r="G760" s="86">
        <v>0</v>
      </c>
      <c r="H760" s="86">
        <v>63</v>
      </c>
      <c r="I760" s="86"/>
    </row>
    <row r="761" spans="1:9" x14ac:dyDescent="0.45">
      <c r="A761" s="3" t="s">
        <v>54</v>
      </c>
      <c r="B761" s="86">
        <v>0</v>
      </c>
      <c r="C761" s="86">
        <v>0</v>
      </c>
      <c r="D761" s="86">
        <v>1</v>
      </c>
      <c r="E761" s="86">
        <v>0</v>
      </c>
      <c r="F761" s="86">
        <v>0</v>
      </c>
      <c r="G761" s="86">
        <v>0</v>
      </c>
      <c r="H761" s="86">
        <v>1</v>
      </c>
      <c r="I761" s="86"/>
    </row>
    <row r="762" spans="1:9" x14ac:dyDescent="0.45">
      <c r="A762" s="3" t="s">
        <v>47</v>
      </c>
      <c r="B762" s="86">
        <v>0</v>
      </c>
      <c r="C762" s="86">
        <v>0</v>
      </c>
      <c r="D762" s="86">
        <v>19</v>
      </c>
      <c r="E762" s="86">
        <v>21</v>
      </c>
      <c r="F762" s="86">
        <v>21</v>
      </c>
      <c r="G762" s="86">
        <v>14</v>
      </c>
      <c r="H762" s="86">
        <v>75</v>
      </c>
      <c r="I762" s="86"/>
    </row>
    <row r="763" spans="1:9" x14ac:dyDescent="0.45">
      <c r="A763" s="3" t="s">
        <v>16</v>
      </c>
      <c r="B763" s="86">
        <v>0</v>
      </c>
      <c r="C763" s="86">
        <v>0</v>
      </c>
      <c r="D763" s="86">
        <v>0</v>
      </c>
      <c r="E763" s="86">
        <v>0</v>
      </c>
      <c r="F763" s="86">
        <v>0</v>
      </c>
      <c r="G763" s="86">
        <v>0</v>
      </c>
      <c r="H763" s="86">
        <v>0</v>
      </c>
      <c r="I763" s="86"/>
    </row>
    <row r="764" spans="1:9" x14ac:dyDescent="0.45">
      <c r="A764" s="3" t="s">
        <v>55</v>
      </c>
      <c r="B764" s="86">
        <v>0</v>
      </c>
      <c r="C764" s="86">
        <v>0</v>
      </c>
      <c r="D764" s="86">
        <v>0</v>
      </c>
      <c r="E764" s="86">
        <v>0</v>
      </c>
      <c r="F764" s="86">
        <v>0</v>
      </c>
      <c r="G764" s="86">
        <v>0</v>
      </c>
      <c r="H764" s="86">
        <v>0</v>
      </c>
      <c r="I764" s="86"/>
    </row>
    <row r="765" spans="1:9" x14ac:dyDescent="0.45">
      <c r="A765" s="3" t="s">
        <v>17</v>
      </c>
      <c r="B765" s="86">
        <v>0</v>
      </c>
      <c r="C765" s="86">
        <v>0</v>
      </c>
      <c r="D765" s="86">
        <v>0</v>
      </c>
      <c r="E765" s="86">
        <v>0</v>
      </c>
      <c r="F765" s="86">
        <v>0</v>
      </c>
      <c r="G765" s="86">
        <v>0</v>
      </c>
      <c r="H765" s="86">
        <v>0</v>
      </c>
      <c r="I765" s="86"/>
    </row>
    <row r="766" spans="1:9" x14ac:dyDescent="0.45">
      <c r="A766" s="3" t="s">
        <v>23</v>
      </c>
      <c r="B766" s="86">
        <v>0</v>
      </c>
      <c r="C766" s="86">
        <v>0</v>
      </c>
      <c r="D766" s="86">
        <v>0</v>
      </c>
      <c r="E766" s="86">
        <v>0</v>
      </c>
      <c r="F766" s="86">
        <v>0</v>
      </c>
      <c r="G766" s="86">
        <v>0</v>
      </c>
      <c r="H766" s="86">
        <v>0</v>
      </c>
      <c r="I766" s="86"/>
    </row>
    <row r="767" spans="1:9" x14ac:dyDescent="0.45">
      <c r="A767" s="178" t="s">
        <v>24</v>
      </c>
      <c r="B767" s="160">
        <v>99</v>
      </c>
      <c r="C767" s="160">
        <v>260</v>
      </c>
      <c r="D767" s="160">
        <v>4351</v>
      </c>
      <c r="E767" s="160">
        <v>7712</v>
      </c>
      <c r="F767" s="160">
        <v>6306</v>
      </c>
      <c r="G767" s="160">
        <v>581</v>
      </c>
      <c r="H767" s="160">
        <v>19309</v>
      </c>
      <c r="I767" s="86">
        <f>SUM(B767:G767)</f>
        <v>19309</v>
      </c>
    </row>
    <row r="770" spans="1:11" x14ac:dyDescent="0.45">
      <c r="A770" s="37" t="s">
        <v>156</v>
      </c>
      <c r="B770" s="2"/>
      <c r="C770" s="2"/>
    </row>
    <row r="771" spans="1:11" x14ac:dyDescent="0.45">
      <c r="A771" s="1" t="s">
        <v>113</v>
      </c>
      <c r="B771" s="2"/>
      <c r="C771" s="2"/>
    </row>
    <row r="773" spans="1:11" x14ac:dyDescent="0.45">
      <c r="A773" s="1"/>
      <c r="B773" s="1" t="s">
        <v>20</v>
      </c>
      <c r="C773" s="1" t="s">
        <v>21</v>
      </c>
      <c r="D773" s="1"/>
      <c r="E773" s="1"/>
      <c r="G773" s="1"/>
      <c r="H773" s="1"/>
      <c r="I773" s="1"/>
      <c r="J773" s="1"/>
      <c r="K773" s="1"/>
    </row>
    <row r="774" spans="1:11" x14ac:dyDescent="0.45">
      <c r="A774" s="108" t="s">
        <v>19</v>
      </c>
      <c r="B774" s="127">
        <v>28</v>
      </c>
      <c r="C774" s="128">
        <v>3</v>
      </c>
      <c r="D774" s="128">
        <v>8</v>
      </c>
      <c r="E774" s="128">
        <v>13</v>
      </c>
      <c r="F774" s="128">
        <v>18</v>
      </c>
      <c r="G774" s="128">
        <v>23</v>
      </c>
      <c r="H774" s="97" t="s">
        <v>24</v>
      </c>
    </row>
    <row r="775" spans="1:11" x14ac:dyDescent="0.45">
      <c r="A775" s="129" t="s">
        <v>1</v>
      </c>
      <c r="B775" s="86">
        <v>0</v>
      </c>
      <c r="C775" s="86">
        <v>0</v>
      </c>
      <c r="D775" s="86">
        <v>14</v>
      </c>
      <c r="E775" s="86">
        <v>36</v>
      </c>
      <c r="F775" s="86">
        <v>14</v>
      </c>
      <c r="G775" s="86">
        <v>28</v>
      </c>
      <c r="H775" s="86">
        <f t="shared" ref="H775:H807" si="40">SUM(B775:G775)</f>
        <v>92</v>
      </c>
    </row>
    <row r="776" spans="1:11" x14ac:dyDescent="0.45">
      <c r="A776" s="90" t="s">
        <v>45</v>
      </c>
      <c r="B776" s="86">
        <v>0</v>
      </c>
      <c r="C776" s="86">
        <v>0</v>
      </c>
      <c r="D776" s="86">
        <v>0</v>
      </c>
      <c r="E776" s="86">
        <v>0</v>
      </c>
      <c r="F776" s="86">
        <v>10</v>
      </c>
      <c r="G776" s="86">
        <v>0</v>
      </c>
      <c r="H776" s="86">
        <f t="shared" si="40"/>
        <v>10</v>
      </c>
    </row>
    <row r="777" spans="1:11" x14ac:dyDescent="0.45">
      <c r="A777" s="90" t="s">
        <v>41</v>
      </c>
      <c r="B777" s="86">
        <v>2</v>
      </c>
      <c r="C777" s="86">
        <v>14</v>
      </c>
      <c r="D777" s="86">
        <v>38</v>
      </c>
      <c r="E777" s="86">
        <v>25</v>
      </c>
      <c r="F777" s="86">
        <v>14</v>
      </c>
      <c r="G777" s="86">
        <v>0</v>
      </c>
      <c r="H777" s="86">
        <f t="shared" si="40"/>
        <v>93</v>
      </c>
    </row>
    <row r="778" spans="1:11" x14ac:dyDescent="0.45">
      <c r="A778" s="90" t="s">
        <v>2</v>
      </c>
      <c r="B778" s="86">
        <v>21</v>
      </c>
      <c r="C778" s="86">
        <v>52</v>
      </c>
      <c r="D778" s="86">
        <v>95</v>
      </c>
      <c r="E778" s="86">
        <v>4</v>
      </c>
      <c r="F778" s="86">
        <v>15</v>
      </c>
      <c r="G778" s="86">
        <v>18</v>
      </c>
      <c r="H778" s="86">
        <f t="shared" si="40"/>
        <v>205</v>
      </c>
    </row>
    <row r="779" spans="1:11" x14ac:dyDescent="0.45">
      <c r="A779" s="90" t="s">
        <v>43</v>
      </c>
      <c r="B779" s="86">
        <v>0</v>
      </c>
      <c r="C779" s="86">
        <v>0</v>
      </c>
      <c r="D779" s="86">
        <v>0</v>
      </c>
      <c r="E779" s="86">
        <v>2</v>
      </c>
      <c r="F779" s="86">
        <v>0</v>
      </c>
      <c r="G779" s="86">
        <v>0</v>
      </c>
      <c r="H779" s="86">
        <f t="shared" si="40"/>
        <v>2</v>
      </c>
    </row>
    <row r="780" spans="1:11" x14ac:dyDescent="0.45">
      <c r="A780" s="90" t="s">
        <v>3</v>
      </c>
      <c r="B780" s="86">
        <v>27</v>
      </c>
      <c r="C780" s="86">
        <v>8</v>
      </c>
      <c r="D780" s="86">
        <v>8</v>
      </c>
      <c r="E780" s="86">
        <v>2</v>
      </c>
      <c r="F780" s="86">
        <v>3</v>
      </c>
      <c r="G780" s="86">
        <v>6</v>
      </c>
      <c r="H780" s="86">
        <f t="shared" si="40"/>
        <v>54</v>
      </c>
    </row>
    <row r="781" spans="1:11" x14ac:dyDescent="0.45">
      <c r="A781" s="90" t="s">
        <v>4</v>
      </c>
      <c r="B781" s="86">
        <v>2</v>
      </c>
      <c r="C781" s="86">
        <v>1</v>
      </c>
      <c r="D781" s="86">
        <v>1</v>
      </c>
      <c r="E781" s="86">
        <v>2</v>
      </c>
      <c r="F781" s="86">
        <v>3</v>
      </c>
      <c r="G781" s="86">
        <v>0</v>
      </c>
      <c r="H781" s="86">
        <f t="shared" si="40"/>
        <v>9</v>
      </c>
    </row>
    <row r="782" spans="1:11" x14ac:dyDescent="0.45">
      <c r="A782" s="90" t="s">
        <v>48</v>
      </c>
      <c r="B782" s="86">
        <v>2</v>
      </c>
      <c r="C782" s="86">
        <v>0</v>
      </c>
      <c r="D782" s="86">
        <v>0</v>
      </c>
      <c r="E782" s="86">
        <v>0</v>
      </c>
      <c r="F782" s="86">
        <v>0</v>
      </c>
      <c r="G782" s="86">
        <v>0</v>
      </c>
      <c r="H782" s="86">
        <f t="shared" si="40"/>
        <v>2</v>
      </c>
    </row>
    <row r="783" spans="1:11" x14ac:dyDescent="0.45">
      <c r="A783" s="90" t="s">
        <v>7</v>
      </c>
      <c r="B783" s="86">
        <v>0</v>
      </c>
      <c r="C783" s="86">
        <v>12</v>
      </c>
      <c r="D783" s="86">
        <v>3</v>
      </c>
      <c r="E783" s="86">
        <v>11</v>
      </c>
      <c r="F783" s="86">
        <v>12</v>
      </c>
      <c r="G783" s="86">
        <v>27</v>
      </c>
      <c r="H783" s="86">
        <f t="shared" si="40"/>
        <v>65</v>
      </c>
    </row>
    <row r="784" spans="1:11" x14ac:dyDescent="0.45">
      <c r="A784" s="90" t="s">
        <v>50</v>
      </c>
      <c r="B784" s="86">
        <v>0</v>
      </c>
      <c r="C784" s="86">
        <v>0</v>
      </c>
      <c r="D784" s="86">
        <v>0</v>
      </c>
      <c r="E784" s="86">
        <v>0</v>
      </c>
      <c r="F784" s="86">
        <v>6</v>
      </c>
      <c r="G784" s="86">
        <v>0</v>
      </c>
      <c r="H784" s="86">
        <f t="shared" si="40"/>
        <v>6</v>
      </c>
    </row>
    <row r="785" spans="1:8" x14ac:dyDescent="0.45">
      <c r="A785" s="90" t="s">
        <v>51</v>
      </c>
      <c r="B785" s="86">
        <v>0</v>
      </c>
      <c r="C785" s="86">
        <v>0</v>
      </c>
      <c r="D785" s="86">
        <v>0</v>
      </c>
      <c r="E785" s="86">
        <v>3</v>
      </c>
      <c r="F785" s="86">
        <v>0</v>
      </c>
      <c r="G785" s="86">
        <v>0</v>
      </c>
      <c r="H785" s="86">
        <f t="shared" si="40"/>
        <v>3</v>
      </c>
    </row>
    <row r="786" spans="1:8" x14ac:dyDescent="0.45">
      <c r="A786" s="90" t="s">
        <v>42</v>
      </c>
      <c r="B786" s="86">
        <v>0</v>
      </c>
      <c r="C786" s="86">
        <v>0</v>
      </c>
      <c r="D786" s="86">
        <v>0</v>
      </c>
      <c r="E786" s="86">
        <v>0</v>
      </c>
      <c r="F786" s="86">
        <v>0</v>
      </c>
      <c r="G786" s="86">
        <v>0</v>
      </c>
      <c r="H786" s="86">
        <f t="shared" si="40"/>
        <v>0</v>
      </c>
    </row>
    <row r="787" spans="1:8" x14ac:dyDescent="0.45">
      <c r="A787" s="90" t="s">
        <v>8</v>
      </c>
      <c r="B787" s="86">
        <v>0</v>
      </c>
      <c r="C787" s="86">
        <v>0</v>
      </c>
      <c r="D787" s="86">
        <v>1</v>
      </c>
      <c r="E787" s="86">
        <v>25</v>
      </c>
      <c r="F787" s="86">
        <v>36</v>
      </c>
      <c r="G787" s="86">
        <v>0</v>
      </c>
      <c r="H787" s="86">
        <f t="shared" si="40"/>
        <v>62</v>
      </c>
    </row>
    <row r="788" spans="1:8" x14ac:dyDescent="0.45">
      <c r="A788" s="90" t="s">
        <v>9</v>
      </c>
      <c r="B788" s="86">
        <v>0</v>
      </c>
      <c r="C788" s="86">
        <v>0</v>
      </c>
      <c r="D788" s="86">
        <v>22</v>
      </c>
      <c r="E788" s="86">
        <v>165</v>
      </c>
      <c r="F788" s="86">
        <v>205</v>
      </c>
      <c r="G788" s="86">
        <v>356</v>
      </c>
      <c r="H788" s="86">
        <f t="shared" si="40"/>
        <v>748</v>
      </c>
    </row>
    <row r="789" spans="1:8" x14ac:dyDescent="0.45">
      <c r="A789" s="90" t="s">
        <v>44</v>
      </c>
      <c r="B789" s="86">
        <v>0</v>
      </c>
      <c r="C789" s="86">
        <v>0</v>
      </c>
      <c r="D789" s="86">
        <v>1</v>
      </c>
      <c r="E789" s="86">
        <v>2</v>
      </c>
      <c r="F789" s="86">
        <v>0</v>
      </c>
      <c r="G789" s="86">
        <v>6</v>
      </c>
      <c r="H789" s="86">
        <f t="shared" si="40"/>
        <v>9</v>
      </c>
    </row>
    <row r="790" spans="1:8" x14ac:dyDescent="0.45">
      <c r="A790" s="90" t="s">
        <v>10</v>
      </c>
      <c r="B790" s="86">
        <v>0</v>
      </c>
      <c r="C790" s="86">
        <v>0</v>
      </c>
      <c r="D790" s="86">
        <v>2</v>
      </c>
      <c r="E790" s="86">
        <v>4</v>
      </c>
      <c r="F790" s="86">
        <v>8</v>
      </c>
      <c r="G790" s="86">
        <v>7</v>
      </c>
      <c r="H790" s="86">
        <f t="shared" si="40"/>
        <v>21</v>
      </c>
    </row>
    <row r="791" spans="1:8" x14ac:dyDescent="0.45">
      <c r="A791" s="90" t="s">
        <v>11</v>
      </c>
      <c r="B791" s="86">
        <v>0</v>
      </c>
      <c r="C791" s="86">
        <v>1</v>
      </c>
      <c r="D791" s="86">
        <v>110</v>
      </c>
      <c r="E791" s="86">
        <v>5254</v>
      </c>
      <c r="F791" s="86">
        <v>2529</v>
      </c>
      <c r="G791" s="86">
        <v>70</v>
      </c>
      <c r="H791" s="86">
        <f t="shared" si="40"/>
        <v>7964</v>
      </c>
    </row>
    <row r="792" spans="1:8" x14ac:dyDescent="0.45">
      <c r="A792" s="90" t="s">
        <v>12</v>
      </c>
      <c r="B792" s="86">
        <v>0</v>
      </c>
      <c r="C792" s="86">
        <v>0</v>
      </c>
      <c r="D792" s="86">
        <v>0</v>
      </c>
      <c r="E792" s="86">
        <v>48</v>
      </c>
      <c r="F792" s="86">
        <v>18</v>
      </c>
      <c r="G792" s="86">
        <v>62</v>
      </c>
      <c r="H792" s="86">
        <f t="shared" si="40"/>
        <v>128</v>
      </c>
    </row>
    <row r="793" spans="1:8" x14ac:dyDescent="0.45">
      <c r="A793" s="90" t="s">
        <v>32</v>
      </c>
      <c r="B793" s="86">
        <v>0</v>
      </c>
      <c r="C793" s="86">
        <v>0</v>
      </c>
      <c r="D793" s="86">
        <v>0</v>
      </c>
      <c r="E793" s="86">
        <v>0</v>
      </c>
      <c r="F793" s="86">
        <v>0</v>
      </c>
      <c r="G793" s="86">
        <v>0</v>
      </c>
      <c r="H793" s="86">
        <f t="shared" si="40"/>
        <v>0</v>
      </c>
    </row>
    <row r="794" spans="1:8" x14ac:dyDescent="0.45">
      <c r="A794" s="90" t="s">
        <v>18</v>
      </c>
      <c r="B794" s="86">
        <v>1</v>
      </c>
      <c r="C794" s="86">
        <v>0</v>
      </c>
      <c r="D794" s="86">
        <v>56</v>
      </c>
      <c r="E794" s="86">
        <v>5066</v>
      </c>
      <c r="F794" s="86">
        <v>120</v>
      </c>
      <c r="G794" s="86">
        <v>62</v>
      </c>
      <c r="H794" s="86">
        <f t="shared" si="40"/>
        <v>5305</v>
      </c>
    </row>
    <row r="795" spans="1:8" x14ac:dyDescent="0.45">
      <c r="A795" s="90" t="s">
        <v>46</v>
      </c>
      <c r="B795" s="86">
        <v>0</v>
      </c>
      <c r="C795" s="86">
        <v>0</v>
      </c>
      <c r="D795" s="86">
        <v>0</v>
      </c>
      <c r="E795" s="86">
        <v>0</v>
      </c>
      <c r="F795" s="86">
        <v>0</v>
      </c>
      <c r="G795" s="86">
        <v>0</v>
      </c>
      <c r="H795" s="86">
        <f t="shared" si="40"/>
        <v>0</v>
      </c>
    </row>
    <row r="796" spans="1:8" x14ac:dyDescent="0.45">
      <c r="A796" s="90" t="s">
        <v>13</v>
      </c>
      <c r="B796" s="86">
        <v>0</v>
      </c>
      <c r="C796" s="86">
        <v>0</v>
      </c>
      <c r="D796" s="86">
        <v>0</v>
      </c>
      <c r="E796" s="86">
        <v>1</v>
      </c>
      <c r="F796" s="86">
        <v>9</v>
      </c>
      <c r="G796" s="86">
        <v>136</v>
      </c>
      <c r="H796" s="86">
        <f t="shared" si="40"/>
        <v>146</v>
      </c>
    </row>
    <row r="797" spans="1:8" x14ac:dyDescent="0.45">
      <c r="A797" s="90" t="s">
        <v>14</v>
      </c>
      <c r="B797" s="86">
        <v>4</v>
      </c>
      <c r="C797" s="86">
        <v>14</v>
      </c>
      <c r="D797" s="86">
        <v>84</v>
      </c>
      <c r="E797" s="86">
        <v>1658</v>
      </c>
      <c r="F797" s="86">
        <v>655</v>
      </c>
      <c r="G797" s="86">
        <v>25</v>
      </c>
      <c r="H797" s="86">
        <f t="shared" si="40"/>
        <v>2440</v>
      </c>
    </row>
    <row r="798" spans="1:8" x14ac:dyDescent="0.45">
      <c r="A798" s="90" t="s">
        <v>40</v>
      </c>
      <c r="B798" s="86">
        <v>0</v>
      </c>
      <c r="C798" s="86">
        <v>0</v>
      </c>
      <c r="D798" s="86">
        <v>0</v>
      </c>
      <c r="E798" s="86">
        <v>2</v>
      </c>
      <c r="F798" s="86">
        <v>0</v>
      </c>
      <c r="G798" s="86">
        <v>0</v>
      </c>
      <c r="H798" s="86">
        <f t="shared" si="40"/>
        <v>2</v>
      </c>
    </row>
    <row r="799" spans="1:8" x14ac:dyDescent="0.45">
      <c r="A799" s="90" t="s">
        <v>52</v>
      </c>
      <c r="B799" s="86">
        <v>0</v>
      </c>
      <c r="C799" s="86">
        <v>0</v>
      </c>
      <c r="D799" s="86">
        <v>0</v>
      </c>
      <c r="E799" s="86">
        <v>0</v>
      </c>
      <c r="F799" s="86">
        <v>0</v>
      </c>
      <c r="G799" s="86">
        <v>0</v>
      </c>
      <c r="H799" s="86">
        <f t="shared" si="40"/>
        <v>0</v>
      </c>
    </row>
    <row r="800" spans="1:8" x14ac:dyDescent="0.45">
      <c r="A800" s="90" t="s">
        <v>53</v>
      </c>
      <c r="B800" s="86">
        <v>0</v>
      </c>
      <c r="C800" s="86">
        <v>0</v>
      </c>
      <c r="D800" s="86">
        <v>0</v>
      </c>
      <c r="E800" s="86">
        <v>0</v>
      </c>
      <c r="F800" s="86">
        <v>0</v>
      </c>
      <c r="G800" s="86">
        <v>0</v>
      </c>
      <c r="H800" s="86">
        <f t="shared" si="40"/>
        <v>0</v>
      </c>
    </row>
    <row r="801" spans="1:11" x14ac:dyDescent="0.45">
      <c r="A801" s="90" t="s">
        <v>15</v>
      </c>
      <c r="B801" s="86">
        <v>0</v>
      </c>
      <c r="C801" s="86">
        <v>0</v>
      </c>
      <c r="D801" s="86">
        <v>0</v>
      </c>
      <c r="E801" s="86">
        <v>4</v>
      </c>
      <c r="F801" s="86">
        <v>14</v>
      </c>
      <c r="G801" s="86">
        <v>0</v>
      </c>
      <c r="H801" s="86">
        <f t="shared" si="40"/>
        <v>18</v>
      </c>
    </row>
    <row r="802" spans="1:11" x14ac:dyDescent="0.45">
      <c r="A802" s="90" t="s">
        <v>54</v>
      </c>
      <c r="B802" s="86">
        <v>0</v>
      </c>
      <c r="C802" s="86">
        <v>0</v>
      </c>
      <c r="D802" s="86">
        <v>0</v>
      </c>
      <c r="E802" s="86">
        <v>19</v>
      </c>
      <c r="F802" s="86">
        <v>3</v>
      </c>
      <c r="G802" s="86">
        <v>0</v>
      </c>
      <c r="H802" s="86">
        <f t="shared" si="40"/>
        <v>22</v>
      </c>
    </row>
    <row r="803" spans="1:11" x14ac:dyDescent="0.45">
      <c r="A803" s="90" t="s">
        <v>47</v>
      </c>
      <c r="B803" s="86">
        <v>0</v>
      </c>
      <c r="C803" s="86">
        <v>0</v>
      </c>
      <c r="D803" s="86">
        <v>6</v>
      </c>
      <c r="E803" s="86">
        <v>155</v>
      </c>
      <c r="F803" s="86">
        <v>142</v>
      </c>
      <c r="G803" s="86">
        <v>41</v>
      </c>
      <c r="H803" s="86">
        <f t="shared" si="40"/>
        <v>344</v>
      </c>
    </row>
    <row r="804" spans="1:11" x14ac:dyDescent="0.45">
      <c r="A804" s="90" t="s">
        <v>16</v>
      </c>
      <c r="B804" s="86">
        <v>0</v>
      </c>
      <c r="C804" s="86">
        <v>0</v>
      </c>
      <c r="D804" s="86">
        <v>0</v>
      </c>
      <c r="E804" s="86">
        <v>0</v>
      </c>
      <c r="F804" s="86">
        <v>0</v>
      </c>
      <c r="G804" s="86">
        <v>0</v>
      </c>
      <c r="H804" s="86">
        <f t="shared" si="40"/>
        <v>0</v>
      </c>
    </row>
    <row r="805" spans="1:11" x14ac:dyDescent="0.45">
      <c r="A805" s="90" t="s">
        <v>17</v>
      </c>
      <c r="B805" s="86">
        <v>0</v>
      </c>
      <c r="C805" s="86">
        <v>0</v>
      </c>
      <c r="D805" s="86">
        <v>500</v>
      </c>
      <c r="E805" s="86">
        <v>0</v>
      </c>
      <c r="F805" s="86">
        <v>200</v>
      </c>
      <c r="G805" s="86">
        <v>3</v>
      </c>
      <c r="H805" s="86">
        <f t="shared" si="40"/>
        <v>703</v>
      </c>
    </row>
    <row r="806" spans="1:11" x14ac:dyDescent="0.45">
      <c r="A806" s="90" t="s">
        <v>151</v>
      </c>
      <c r="B806" s="86">
        <v>0</v>
      </c>
      <c r="C806" s="86">
        <v>0</v>
      </c>
      <c r="D806" s="86">
        <v>0</v>
      </c>
      <c r="E806" s="86">
        <v>0</v>
      </c>
      <c r="F806" s="86">
        <v>2</v>
      </c>
      <c r="G806" s="86">
        <v>3</v>
      </c>
      <c r="H806" s="86">
        <f t="shared" si="40"/>
        <v>5</v>
      </c>
    </row>
    <row r="807" spans="1:11" x14ac:dyDescent="0.45">
      <c r="A807" s="95" t="s">
        <v>24</v>
      </c>
      <c r="B807" s="86">
        <v>59</v>
      </c>
      <c r="C807" s="86">
        <v>102</v>
      </c>
      <c r="D807" s="86">
        <v>941</v>
      </c>
      <c r="E807" s="86">
        <v>12488</v>
      </c>
      <c r="F807" s="86">
        <v>4018</v>
      </c>
      <c r="G807" s="86">
        <v>850</v>
      </c>
      <c r="H807" s="86">
        <f t="shared" si="40"/>
        <v>18458</v>
      </c>
    </row>
    <row r="810" spans="1:11" x14ac:dyDescent="0.45">
      <c r="A810" s="37" t="s">
        <v>156</v>
      </c>
    </row>
    <row r="811" spans="1:11" x14ac:dyDescent="0.45">
      <c r="A811" s="1" t="s">
        <v>115</v>
      </c>
    </row>
    <row r="812" spans="1:11" x14ac:dyDescent="0.45">
      <c r="A812" s="1"/>
    </row>
    <row r="813" spans="1:11" x14ac:dyDescent="0.45">
      <c r="A813" s="1"/>
      <c r="B813" s="1" t="s">
        <v>20</v>
      </c>
      <c r="C813" s="1" t="s">
        <v>21</v>
      </c>
      <c r="D813" s="1"/>
      <c r="E813" s="1"/>
      <c r="G813" s="1"/>
      <c r="H813" s="1"/>
      <c r="I813" s="1"/>
      <c r="J813" s="1"/>
      <c r="K813" s="1"/>
    </row>
    <row r="814" spans="1:11" x14ac:dyDescent="0.45">
      <c r="A814" s="108" t="s">
        <v>19</v>
      </c>
      <c r="B814" s="127">
        <v>28</v>
      </c>
      <c r="C814" s="128">
        <v>3</v>
      </c>
      <c r="D814" s="128">
        <v>8</v>
      </c>
      <c r="E814" s="128">
        <v>13</v>
      </c>
      <c r="F814" s="128">
        <v>18</v>
      </c>
      <c r="G814" s="128">
        <v>23</v>
      </c>
      <c r="H814" s="97" t="s">
        <v>24</v>
      </c>
    </row>
    <row r="815" spans="1:11" x14ac:dyDescent="0.45">
      <c r="A815" s="129" t="s">
        <v>1</v>
      </c>
      <c r="B815" s="86">
        <v>0</v>
      </c>
      <c r="C815" s="86">
        <v>0</v>
      </c>
      <c r="D815" s="86">
        <v>13</v>
      </c>
      <c r="E815" s="86">
        <v>33</v>
      </c>
      <c r="F815" s="86">
        <v>14</v>
      </c>
      <c r="G815" s="86">
        <v>26</v>
      </c>
      <c r="H815" s="86">
        <f t="shared" ref="H815:H847" si="41">SUM(B815:G815)</f>
        <v>86</v>
      </c>
    </row>
    <row r="816" spans="1:11" x14ac:dyDescent="0.45">
      <c r="A816" s="90" t="s">
        <v>45</v>
      </c>
      <c r="B816" s="86">
        <v>0</v>
      </c>
      <c r="C816" s="86">
        <v>0</v>
      </c>
      <c r="D816" s="86">
        <v>0</v>
      </c>
      <c r="E816" s="86">
        <v>0</v>
      </c>
      <c r="F816" s="86">
        <v>2</v>
      </c>
      <c r="G816" s="86">
        <v>0</v>
      </c>
      <c r="H816" s="86">
        <f t="shared" si="41"/>
        <v>2</v>
      </c>
    </row>
    <row r="817" spans="1:8" x14ac:dyDescent="0.45">
      <c r="A817" s="90" t="s">
        <v>41</v>
      </c>
      <c r="B817" s="86">
        <v>2</v>
      </c>
      <c r="C817" s="86">
        <v>14</v>
      </c>
      <c r="D817" s="86">
        <v>38</v>
      </c>
      <c r="E817" s="86">
        <v>25</v>
      </c>
      <c r="F817" s="86">
        <v>10</v>
      </c>
      <c r="G817" s="86">
        <v>0</v>
      </c>
      <c r="H817" s="86">
        <f t="shared" si="41"/>
        <v>89</v>
      </c>
    </row>
    <row r="818" spans="1:8" x14ac:dyDescent="0.45">
      <c r="A818" s="90" t="s">
        <v>2</v>
      </c>
      <c r="B818" s="86">
        <v>21</v>
      </c>
      <c r="C818" s="86">
        <v>52</v>
      </c>
      <c r="D818" s="86">
        <v>94</v>
      </c>
      <c r="E818" s="86">
        <v>4</v>
      </c>
      <c r="F818" s="86">
        <v>15</v>
      </c>
      <c r="G818" s="86">
        <v>18</v>
      </c>
      <c r="H818" s="86">
        <f t="shared" si="41"/>
        <v>204</v>
      </c>
    </row>
    <row r="819" spans="1:8" x14ac:dyDescent="0.45">
      <c r="A819" s="90" t="s">
        <v>43</v>
      </c>
      <c r="B819" s="86">
        <v>0</v>
      </c>
      <c r="C819" s="86">
        <v>0</v>
      </c>
      <c r="D819" s="86">
        <v>0</v>
      </c>
      <c r="E819" s="86">
        <v>0</v>
      </c>
      <c r="F819" s="86">
        <v>0</v>
      </c>
      <c r="G819" s="86">
        <v>0</v>
      </c>
      <c r="H819" s="86">
        <f t="shared" si="41"/>
        <v>0</v>
      </c>
    </row>
    <row r="820" spans="1:8" x14ac:dyDescent="0.45">
      <c r="A820" s="90" t="s">
        <v>3</v>
      </c>
      <c r="B820" s="86">
        <v>9</v>
      </c>
      <c r="C820" s="86">
        <v>4</v>
      </c>
      <c r="D820" s="86">
        <v>4</v>
      </c>
      <c r="E820" s="86">
        <v>1</v>
      </c>
      <c r="F820" s="86">
        <v>0</v>
      </c>
      <c r="G820" s="86">
        <v>0</v>
      </c>
      <c r="H820" s="86">
        <f t="shared" si="41"/>
        <v>18</v>
      </c>
    </row>
    <row r="821" spans="1:8" x14ac:dyDescent="0.45">
      <c r="A821" s="90" t="s">
        <v>4</v>
      </c>
      <c r="B821" s="86">
        <v>1</v>
      </c>
      <c r="C821" s="86">
        <v>0</v>
      </c>
      <c r="D821" s="86">
        <v>0</v>
      </c>
      <c r="E821" s="86">
        <v>1</v>
      </c>
      <c r="F821" s="86">
        <v>1</v>
      </c>
      <c r="G821" s="86">
        <v>0</v>
      </c>
      <c r="H821" s="86">
        <f t="shared" si="41"/>
        <v>3</v>
      </c>
    </row>
    <row r="822" spans="1:8" x14ac:dyDescent="0.45">
      <c r="A822" s="90" t="s">
        <v>48</v>
      </c>
      <c r="B822" s="86">
        <v>2</v>
      </c>
      <c r="C822" s="86">
        <v>0</v>
      </c>
      <c r="D822" s="86">
        <v>0</v>
      </c>
      <c r="E822" s="86">
        <v>0</v>
      </c>
      <c r="F822" s="86">
        <v>0</v>
      </c>
      <c r="G822" s="86">
        <v>0</v>
      </c>
      <c r="H822" s="86">
        <f t="shared" si="41"/>
        <v>2</v>
      </c>
    </row>
    <row r="823" spans="1:8" x14ac:dyDescent="0.45">
      <c r="A823" s="90" t="s">
        <v>7</v>
      </c>
      <c r="B823" s="86">
        <v>0</v>
      </c>
      <c r="C823" s="86">
        <v>8</v>
      </c>
      <c r="D823" s="86">
        <v>1</v>
      </c>
      <c r="E823" s="86">
        <v>11</v>
      </c>
      <c r="F823" s="86">
        <v>12</v>
      </c>
      <c r="G823" s="86">
        <v>27</v>
      </c>
      <c r="H823" s="86">
        <f t="shared" si="41"/>
        <v>59</v>
      </c>
    </row>
    <row r="824" spans="1:8" x14ac:dyDescent="0.45">
      <c r="A824" s="90" t="s">
        <v>50</v>
      </c>
      <c r="B824" s="86">
        <v>0</v>
      </c>
      <c r="C824" s="86">
        <v>0</v>
      </c>
      <c r="D824" s="86">
        <v>0</v>
      </c>
      <c r="E824" s="86">
        <v>0</v>
      </c>
      <c r="F824" s="86">
        <v>3</v>
      </c>
      <c r="G824" s="86">
        <v>0</v>
      </c>
      <c r="H824" s="86">
        <f t="shared" si="41"/>
        <v>3</v>
      </c>
    </row>
    <row r="825" spans="1:8" x14ac:dyDescent="0.45">
      <c r="A825" s="90" t="s">
        <v>51</v>
      </c>
      <c r="B825" s="86">
        <v>0</v>
      </c>
      <c r="C825" s="86">
        <v>0</v>
      </c>
      <c r="D825" s="86">
        <v>0</v>
      </c>
      <c r="E825" s="86">
        <v>0</v>
      </c>
      <c r="F825" s="86">
        <v>0</v>
      </c>
      <c r="G825" s="86">
        <v>0</v>
      </c>
      <c r="H825" s="86">
        <f t="shared" si="41"/>
        <v>0</v>
      </c>
    </row>
    <row r="826" spans="1:8" x14ac:dyDescent="0.45">
      <c r="A826" s="90" t="s">
        <v>42</v>
      </c>
      <c r="B826" s="86">
        <v>0</v>
      </c>
      <c r="C826" s="86">
        <v>0</v>
      </c>
      <c r="D826" s="86">
        <v>0</v>
      </c>
      <c r="E826" s="86">
        <v>0</v>
      </c>
      <c r="F826" s="86">
        <v>0</v>
      </c>
      <c r="G826" s="86">
        <v>0</v>
      </c>
      <c r="H826" s="86">
        <f t="shared" si="41"/>
        <v>0</v>
      </c>
    </row>
    <row r="827" spans="1:8" x14ac:dyDescent="0.45">
      <c r="A827" s="90" t="s">
        <v>8</v>
      </c>
      <c r="B827" s="86">
        <v>0</v>
      </c>
      <c r="C827" s="86">
        <v>0</v>
      </c>
      <c r="D827" s="86">
        <v>1</v>
      </c>
      <c r="E827" s="86">
        <v>24</v>
      </c>
      <c r="F827" s="86">
        <v>36</v>
      </c>
      <c r="G827" s="86">
        <v>0</v>
      </c>
      <c r="H827" s="86">
        <f t="shared" si="41"/>
        <v>61</v>
      </c>
    </row>
    <row r="828" spans="1:8" x14ac:dyDescent="0.45">
      <c r="A828" s="90" t="s">
        <v>9</v>
      </c>
      <c r="B828" s="86">
        <v>0</v>
      </c>
      <c r="C828" s="86">
        <v>0</v>
      </c>
      <c r="D828" s="86">
        <v>0</v>
      </c>
      <c r="E828" s="86">
        <v>75</v>
      </c>
      <c r="F828" s="86">
        <v>205</v>
      </c>
      <c r="G828" s="86">
        <v>0</v>
      </c>
      <c r="H828" s="86">
        <f t="shared" si="41"/>
        <v>280</v>
      </c>
    </row>
    <row r="829" spans="1:8" x14ac:dyDescent="0.45">
      <c r="A829" s="90" t="s">
        <v>44</v>
      </c>
      <c r="B829" s="86">
        <v>0</v>
      </c>
      <c r="C829" s="86">
        <v>0</v>
      </c>
      <c r="D829" s="86">
        <v>0</v>
      </c>
      <c r="E829" s="86">
        <v>2</v>
      </c>
      <c r="F829" s="86">
        <v>0</v>
      </c>
      <c r="G829" s="86">
        <v>6</v>
      </c>
      <c r="H829" s="86">
        <f t="shared" si="41"/>
        <v>8</v>
      </c>
    </row>
    <row r="830" spans="1:8" x14ac:dyDescent="0.45">
      <c r="A830" s="90" t="s">
        <v>10</v>
      </c>
      <c r="B830" s="86">
        <v>0</v>
      </c>
      <c r="C830" s="86">
        <v>0</v>
      </c>
      <c r="D830" s="86">
        <v>0</v>
      </c>
      <c r="E830" s="86">
        <v>0</v>
      </c>
      <c r="F830" s="86">
        <v>8</v>
      </c>
      <c r="G830" s="86">
        <v>0</v>
      </c>
      <c r="H830" s="86">
        <f t="shared" si="41"/>
        <v>8</v>
      </c>
    </row>
    <row r="831" spans="1:8" x14ac:dyDescent="0.45">
      <c r="A831" s="90" t="s">
        <v>11</v>
      </c>
      <c r="B831" s="86">
        <v>0</v>
      </c>
      <c r="C831" s="86">
        <v>1</v>
      </c>
      <c r="D831" s="86">
        <v>110</v>
      </c>
      <c r="E831" s="86">
        <v>5022</v>
      </c>
      <c r="F831" s="86">
        <v>2529</v>
      </c>
      <c r="G831" s="86">
        <v>70</v>
      </c>
      <c r="H831" s="86">
        <f t="shared" si="41"/>
        <v>7732</v>
      </c>
    </row>
    <row r="832" spans="1:8" x14ac:dyDescent="0.45">
      <c r="A832" s="90" t="s">
        <v>12</v>
      </c>
      <c r="B832" s="86">
        <v>0</v>
      </c>
      <c r="C832" s="86">
        <v>0</v>
      </c>
      <c r="D832" s="86">
        <v>0</v>
      </c>
      <c r="E832" s="86">
        <v>42</v>
      </c>
      <c r="F832" s="86">
        <v>18</v>
      </c>
      <c r="G832" s="86">
        <v>14</v>
      </c>
      <c r="H832" s="86">
        <f t="shared" si="41"/>
        <v>74</v>
      </c>
    </row>
    <row r="833" spans="1:8" x14ac:dyDescent="0.45">
      <c r="A833" s="90" t="s">
        <v>32</v>
      </c>
      <c r="B833" s="86">
        <v>0</v>
      </c>
      <c r="C833" s="86">
        <v>0</v>
      </c>
      <c r="D833" s="86">
        <v>0</v>
      </c>
      <c r="E833" s="86">
        <v>0</v>
      </c>
      <c r="F833" s="86">
        <v>0</v>
      </c>
      <c r="G833" s="86">
        <v>0</v>
      </c>
      <c r="H833" s="86">
        <f t="shared" si="41"/>
        <v>0</v>
      </c>
    </row>
    <row r="834" spans="1:8" x14ac:dyDescent="0.45">
      <c r="A834" s="90" t="s">
        <v>18</v>
      </c>
      <c r="B834" s="86">
        <v>1</v>
      </c>
      <c r="C834" s="86">
        <v>0</v>
      </c>
      <c r="D834" s="86">
        <v>50</v>
      </c>
      <c r="E834" s="86">
        <v>5050</v>
      </c>
      <c r="F834" s="86">
        <v>120</v>
      </c>
      <c r="G834" s="86">
        <v>51</v>
      </c>
      <c r="H834" s="86">
        <f t="shared" si="41"/>
        <v>5272</v>
      </c>
    </row>
    <row r="835" spans="1:8" x14ac:dyDescent="0.45">
      <c r="A835" s="90" t="s">
        <v>46</v>
      </c>
      <c r="B835" s="86">
        <v>0</v>
      </c>
      <c r="C835" s="86">
        <v>0</v>
      </c>
      <c r="D835" s="86">
        <v>0</v>
      </c>
      <c r="E835" s="86">
        <v>0</v>
      </c>
      <c r="F835" s="86">
        <v>0</v>
      </c>
      <c r="G835" s="86">
        <v>0</v>
      </c>
      <c r="H835" s="86">
        <f t="shared" si="41"/>
        <v>0</v>
      </c>
    </row>
    <row r="836" spans="1:8" x14ac:dyDescent="0.45">
      <c r="A836" s="90" t="s">
        <v>13</v>
      </c>
      <c r="B836" s="86">
        <v>0</v>
      </c>
      <c r="C836" s="86">
        <v>0</v>
      </c>
      <c r="D836" s="86">
        <v>0</v>
      </c>
      <c r="E836" s="86">
        <v>1</v>
      </c>
      <c r="F836" s="86">
        <v>3</v>
      </c>
      <c r="G836" s="86">
        <v>135</v>
      </c>
      <c r="H836" s="86">
        <f t="shared" si="41"/>
        <v>139</v>
      </c>
    </row>
    <row r="837" spans="1:8" x14ac:dyDescent="0.45">
      <c r="A837" s="90" t="s">
        <v>14</v>
      </c>
      <c r="B837" s="86">
        <v>4</v>
      </c>
      <c r="C837" s="86">
        <v>14</v>
      </c>
      <c r="D837" s="86">
        <v>84</v>
      </c>
      <c r="E837" s="86">
        <v>1649</v>
      </c>
      <c r="F837" s="86">
        <v>655</v>
      </c>
      <c r="G837" s="86">
        <v>25</v>
      </c>
      <c r="H837" s="86">
        <f t="shared" si="41"/>
        <v>2431</v>
      </c>
    </row>
    <row r="838" spans="1:8" x14ac:dyDescent="0.45">
      <c r="A838" s="90" t="s">
        <v>40</v>
      </c>
      <c r="B838" s="86">
        <v>0</v>
      </c>
      <c r="C838" s="86">
        <v>0</v>
      </c>
      <c r="D838" s="86">
        <v>0</v>
      </c>
      <c r="E838" s="86">
        <v>0</v>
      </c>
      <c r="F838" s="86">
        <v>0</v>
      </c>
      <c r="G838" s="86">
        <v>0</v>
      </c>
      <c r="H838" s="86">
        <f t="shared" si="41"/>
        <v>0</v>
      </c>
    </row>
    <row r="839" spans="1:8" x14ac:dyDescent="0.45">
      <c r="A839" s="90" t="s">
        <v>52</v>
      </c>
      <c r="B839" s="86">
        <v>0</v>
      </c>
      <c r="C839" s="86">
        <v>0</v>
      </c>
      <c r="D839" s="86">
        <v>0</v>
      </c>
      <c r="E839" s="86">
        <v>0</v>
      </c>
      <c r="F839" s="86">
        <v>0</v>
      </c>
      <c r="G839" s="86">
        <v>0</v>
      </c>
      <c r="H839" s="86">
        <f t="shared" si="41"/>
        <v>0</v>
      </c>
    </row>
    <row r="840" spans="1:8" x14ac:dyDescent="0.45">
      <c r="A840" s="90" t="s">
        <v>53</v>
      </c>
      <c r="B840" s="86">
        <v>0</v>
      </c>
      <c r="C840" s="86">
        <v>0</v>
      </c>
      <c r="D840" s="86">
        <v>0</v>
      </c>
      <c r="E840" s="86">
        <v>0</v>
      </c>
      <c r="F840" s="86">
        <v>0</v>
      </c>
      <c r="G840" s="86">
        <v>0</v>
      </c>
      <c r="H840" s="86">
        <f t="shared" si="41"/>
        <v>0</v>
      </c>
    </row>
    <row r="841" spans="1:8" x14ac:dyDescent="0.45">
      <c r="A841" s="90" t="s">
        <v>15</v>
      </c>
      <c r="B841" s="86">
        <v>0</v>
      </c>
      <c r="C841" s="86">
        <v>0</v>
      </c>
      <c r="D841" s="86">
        <v>0</v>
      </c>
      <c r="E841" s="86">
        <v>4</v>
      </c>
      <c r="F841" s="86">
        <v>12</v>
      </c>
      <c r="G841" s="86">
        <v>0</v>
      </c>
      <c r="H841" s="86">
        <f t="shared" si="41"/>
        <v>16</v>
      </c>
    </row>
    <row r="842" spans="1:8" x14ac:dyDescent="0.45">
      <c r="A842" s="90" t="s">
        <v>54</v>
      </c>
      <c r="B842" s="86">
        <v>0</v>
      </c>
      <c r="C842" s="86">
        <v>0</v>
      </c>
      <c r="D842" s="86">
        <v>0</v>
      </c>
      <c r="E842" s="86">
        <v>19</v>
      </c>
      <c r="F842" s="86">
        <v>0</v>
      </c>
      <c r="G842" s="86">
        <v>0</v>
      </c>
      <c r="H842" s="86">
        <f t="shared" si="41"/>
        <v>19</v>
      </c>
    </row>
    <row r="843" spans="1:8" x14ac:dyDescent="0.45">
      <c r="A843" s="90" t="s">
        <v>47</v>
      </c>
      <c r="B843" s="86">
        <v>0</v>
      </c>
      <c r="C843" s="86">
        <v>0</v>
      </c>
      <c r="D843" s="86">
        <v>6</v>
      </c>
      <c r="E843" s="86">
        <v>133</v>
      </c>
      <c r="F843" s="86">
        <v>136</v>
      </c>
      <c r="G843" s="86">
        <v>29</v>
      </c>
      <c r="H843" s="86">
        <f t="shared" si="41"/>
        <v>304</v>
      </c>
    </row>
    <row r="844" spans="1:8" x14ac:dyDescent="0.45">
      <c r="A844" s="90" t="s">
        <v>16</v>
      </c>
      <c r="B844" s="86">
        <v>0</v>
      </c>
      <c r="C844" s="86">
        <v>0</v>
      </c>
      <c r="D844" s="86">
        <v>0</v>
      </c>
      <c r="E844" s="86">
        <v>0</v>
      </c>
      <c r="F844" s="86">
        <v>0</v>
      </c>
      <c r="G844" s="86">
        <v>0</v>
      </c>
      <c r="H844" s="86">
        <f t="shared" si="41"/>
        <v>0</v>
      </c>
    </row>
    <row r="845" spans="1:8" x14ac:dyDescent="0.45">
      <c r="A845" s="90" t="s">
        <v>17</v>
      </c>
      <c r="B845" s="86">
        <v>0</v>
      </c>
      <c r="C845" s="86">
        <v>0</v>
      </c>
      <c r="D845" s="86">
        <v>0</v>
      </c>
      <c r="E845" s="86">
        <v>0</v>
      </c>
      <c r="F845" s="86">
        <v>0</v>
      </c>
      <c r="G845" s="86">
        <v>0</v>
      </c>
      <c r="H845" s="86">
        <f t="shared" si="41"/>
        <v>0</v>
      </c>
    </row>
    <row r="846" spans="1:8" x14ac:dyDescent="0.45">
      <c r="A846" s="90" t="s">
        <v>151</v>
      </c>
      <c r="B846" s="86">
        <v>0</v>
      </c>
      <c r="C846" s="86">
        <v>0</v>
      </c>
      <c r="D846" s="86">
        <v>0</v>
      </c>
      <c r="E846" s="86">
        <v>0</v>
      </c>
      <c r="F846" s="86">
        <v>2</v>
      </c>
      <c r="G846" s="86">
        <v>3</v>
      </c>
      <c r="H846" s="86">
        <f t="shared" si="41"/>
        <v>5</v>
      </c>
    </row>
    <row r="847" spans="1:8" x14ac:dyDescent="0.45">
      <c r="A847" s="95" t="s">
        <v>24</v>
      </c>
      <c r="B847" s="86">
        <v>40</v>
      </c>
      <c r="C847" s="86">
        <v>93</v>
      </c>
      <c r="D847" s="86">
        <v>401</v>
      </c>
      <c r="E847" s="86">
        <v>12096</v>
      </c>
      <c r="F847" s="86">
        <v>3781</v>
      </c>
      <c r="G847" s="86">
        <v>404</v>
      </c>
      <c r="H847" s="86">
        <f t="shared" si="41"/>
        <v>16815</v>
      </c>
    </row>
    <row r="850" spans="1:11" x14ac:dyDescent="0.45">
      <c r="A850" s="37" t="s">
        <v>210</v>
      </c>
      <c r="B850" s="180"/>
      <c r="C850" s="180"/>
    </row>
    <row r="851" spans="1:11" x14ac:dyDescent="0.45">
      <c r="A851" s="1" t="s">
        <v>113</v>
      </c>
      <c r="B851" s="180"/>
      <c r="C851" s="180"/>
    </row>
    <row r="853" spans="1:11" x14ac:dyDescent="0.45">
      <c r="B853" t="s">
        <v>20</v>
      </c>
      <c r="C853" t="s">
        <v>21</v>
      </c>
    </row>
    <row r="854" spans="1:11" x14ac:dyDescent="0.45">
      <c r="A854" s="34" t="s">
        <v>19</v>
      </c>
      <c r="B854" s="91">
        <v>27</v>
      </c>
      <c r="C854" s="91">
        <v>2</v>
      </c>
      <c r="D854" s="91">
        <v>7</v>
      </c>
      <c r="E854" s="91">
        <v>12</v>
      </c>
      <c r="F854" s="91">
        <v>17</v>
      </c>
      <c r="G854" s="91">
        <v>22</v>
      </c>
      <c r="H854" s="22" t="s">
        <v>24</v>
      </c>
    </row>
    <row r="855" spans="1:11" x14ac:dyDescent="0.45">
      <c r="A855" s="90" t="s">
        <v>1</v>
      </c>
      <c r="B855" s="86">
        <v>3</v>
      </c>
      <c r="C855" s="86">
        <v>10</v>
      </c>
      <c r="D855" s="86">
        <v>45</v>
      </c>
      <c r="E855" s="86">
        <v>64</v>
      </c>
      <c r="F855" s="86">
        <v>52</v>
      </c>
      <c r="G855" s="86">
        <v>34</v>
      </c>
      <c r="H855" s="86">
        <f>SUM(B855:G855)</f>
        <v>208</v>
      </c>
      <c r="K855" s="86"/>
    </row>
    <row r="856" spans="1:11" x14ac:dyDescent="0.45">
      <c r="A856" s="90" t="s">
        <v>49</v>
      </c>
      <c r="B856" s="86">
        <v>0</v>
      </c>
      <c r="C856" s="86">
        <v>0</v>
      </c>
      <c r="D856" s="86">
        <v>0</v>
      </c>
      <c r="E856" s="86">
        <v>0</v>
      </c>
      <c r="F856" s="86">
        <v>0</v>
      </c>
      <c r="G856" s="86">
        <v>0</v>
      </c>
      <c r="H856" s="86">
        <f t="shared" ref="H856:H890" si="42">SUM(B856:G856)</f>
        <v>0</v>
      </c>
      <c r="K856" s="86"/>
    </row>
    <row r="857" spans="1:11" x14ac:dyDescent="0.45">
      <c r="A857" s="90" t="s">
        <v>45</v>
      </c>
      <c r="B857" s="86">
        <v>0</v>
      </c>
      <c r="C857" s="86">
        <v>0</v>
      </c>
      <c r="D857" s="86">
        <v>0</v>
      </c>
      <c r="E857" s="86">
        <v>0</v>
      </c>
      <c r="F857" s="86">
        <v>0</v>
      </c>
      <c r="G857" s="86">
        <v>0</v>
      </c>
      <c r="H857" s="86">
        <f t="shared" si="42"/>
        <v>0</v>
      </c>
      <c r="K857" s="86"/>
    </row>
    <row r="858" spans="1:11" x14ac:dyDescent="0.45">
      <c r="A858" s="90" t="s">
        <v>41</v>
      </c>
      <c r="B858" s="86">
        <v>13</v>
      </c>
      <c r="C858" s="86">
        <v>4</v>
      </c>
      <c r="D858" s="86">
        <v>0</v>
      </c>
      <c r="E858" s="86">
        <v>0</v>
      </c>
      <c r="F858" s="86">
        <v>0</v>
      </c>
      <c r="G858" s="86">
        <v>0</v>
      </c>
      <c r="H858" s="86">
        <f t="shared" si="42"/>
        <v>17</v>
      </c>
      <c r="K858" s="86"/>
    </row>
    <row r="859" spans="1:11" x14ac:dyDescent="0.45">
      <c r="A859" s="90" t="s">
        <v>2</v>
      </c>
      <c r="B859" s="86">
        <v>39</v>
      </c>
      <c r="C859" s="86">
        <v>22</v>
      </c>
      <c r="D859" s="86">
        <v>38</v>
      </c>
      <c r="E859" s="86">
        <v>9</v>
      </c>
      <c r="F859" s="86">
        <v>2</v>
      </c>
      <c r="G859" s="86">
        <v>0</v>
      </c>
      <c r="H859" s="86">
        <f t="shared" si="42"/>
        <v>110</v>
      </c>
      <c r="K859" s="86"/>
    </row>
    <row r="860" spans="1:11" x14ac:dyDescent="0.45">
      <c r="A860" s="90" t="s">
        <v>43</v>
      </c>
      <c r="B860" s="86">
        <v>0</v>
      </c>
      <c r="C860" s="86">
        <v>0</v>
      </c>
      <c r="D860" s="86">
        <v>2</v>
      </c>
      <c r="E860" s="86">
        <v>0</v>
      </c>
      <c r="F860" s="86">
        <v>2</v>
      </c>
      <c r="G860" s="86">
        <v>1</v>
      </c>
      <c r="H860" s="86">
        <f t="shared" si="42"/>
        <v>5</v>
      </c>
      <c r="K860" s="86"/>
    </row>
    <row r="861" spans="1:11" x14ac:dyDescent="0.45">
      <c r="A861" s="90" t="s">
        <v>3</v>
      </c>
      <c r="B861" s="86">
        <v>2</v>
      </c>
      <c r="C861" s="86">
        <v>6</v>
      </c>
      <c r="D861" s="86">
        <v>0</v>
      </c>
      <c r="E861" s="86">
        <v>4</v>
      </c>
      <c r="F861" s="86">
        <v>0</v>
      </c>
      <c r="G861" s="86">
        <v>7</v>
      </c>
      <c r="H861" s="86">
        <f t="shared" si="42"/>
        <v>19</v>
      </c>
      <c r="K861" s="86"/>
    </row>
    <row r="862" spans="1:11" x14ac:dyDescent="0.45">
      <c r="A862" s="90" t="s">
        <v>4</v>
      </c>
      <c r="B862" s="86">
        <v>0</v>
      </c>
      <c r="C862" s="86">
        <v>0</v>
      </c>
      <c r="D862" s="86">
        <v>0</v>
      </c>
      <c r="E862" s="86">
        <v>0</v>
      </c>
      <c r="F862" s="86">
        <v>4</v>
      </c>
      <c r="G862" s="86">
        <v>0</v>
      </c>
      <c r="H862" s="86">
        <f t="shared" si="42"/>
        <v>4</v>
      </c>
      <c r="K862" s="86"/>
    </row>
    <row r="863" spans="1:11" x14ac:dyDescent="0.45">
      <c r="A863" s="90" t="s">
        <v>48</v>
      </c>
      <c r="B863" s="86">
        <v>0</v>
      </c>
      <c r="C863" s="86">
        <v>0</v>
      </c>
      <c r="D863" s="86">
        <v>0</v>
      </c>
      <c r="E863" s="86">
        <v>0</v>
      </c>
      <c r="F863" s="86">
        <v>0</v>
      </c>
      <c r="G863" s="86">
        <v>0</v>
      </c>
      <c r="H863" s="86">
        <f t="shared" si="42"/>
        <v>0</v>
      </c>
      <c r="K863" s="86"/>
    </row>
    <row r="864" spans="1:11" x14ac:dyDescent="0.45">
      <c r="A864" s="90" t="s">
        <v>6</v>
      </c>
      <c r="B864" s="86">
        <v>0</v>
      </c>
      <c r="C864" s="86">
        <v>0</v>
      </c>
      <c r="D864" s="86">
        <v>0</v>
      </c>
      <c r="E864" s="86">
        <v>0</v>
      </c>
      <c r="F864" s="86">
        <v>0</v>
      </c>
      <c r="G864" s="86">
        <v>0</v>
      </c>
      <c r="H864" s="86">
        <f t="shared" si="42"/>
        <v>0</v>
      </c>
      <c r="K864" s="86"/>
    </row>
    <row r="865" spans="1:11" x14ac:dyDescent="0.45">
      <c r="A865" s="90" t="s">
        <v>7</v>
      </c>
      <c r="B865" s="86">
        <v>0</v>
      </c>
      <c r="C865" s="86">
        <v>2</v>
      </c>
      <c r="D865" s="86">
        <v>12</v>
      </c>
      <c r="E865" s="86">
        <v>1</v>
      </c>
      <c r="F865" s="86">
        <v>1</v>
      </c>
      <c r="G865" s="86">
        <v>10</v>
      </c>
      <c r="H865" s="86">
        <f t="shared" si="42"/>
        <v>26</v>
      </c>
      <c r="K865" s="86"/>
    </row>
    <row r="866" spans="1:11" x14ac:dyDescent="0.45">
      <c r="A866" s="90" t="s">
        <v>83</v>
      </c>
      <c r="B866" s="86">
        <v>0</v>
      </c>
      <c r="C866" s="86">
        <v>0</v>
      </c>
      <c r="D866" s="86">
        <v>0</v>
      </c>
      <c r="E866" s="86">
        <v>0</v>
      </c>
      <c r="F866" s="86">
        <v>0</v>
      </c>
      <c r="G866" s="86">
        <v>0</v>
      </c>
      <c r="H866" s="86">
        <f t="shared" si="42"/>
        <v>0</v>
      </c>
      <c r="K866" s="86"/>
    </row>
    <row r="867" spans="1:11" x14ac:dyDescent="0.45">
      <c r="A867" s="90" t="s">
        <v>50</v>
      </c>
      <c r="B867" s="86">
        <v>0</v>
      </c>
      <c r="C867" s="86">
        <v>0</v>
      </c>
      <c r="D867" s="86">
        <v>0</v>
      </c>
      <c r="E867" s="86">
        <v>0</v>
      </c>
      <c r="F867" s="86">
        <v>0</v>
      </c>
      <c r="G867" s="86">
        <v>0</v>
      </c>
      <c r="H867" s="86">
        <f t="shared" si="42"/>
        <v>0</v>
      </c>
      <c r="K867" s="86"/>
    </row>
    <row r="868" spans="1:11" x14ac:dyDescent="0.45">
      <c r="A868" s="90" t="s">
        <v>51</v>
      </c>
      <c r="B868" s="86">
        <v>0</v>
      </c>
      <c r="C868" s="86">
        <v>3</v>
      </c>
      <c r="D868" s="86">
        <v>0</v>
      </c>
      <c r="E868" s="86">
        <v>0</v>
      </c>
      <c r="F868" s="86">
        <v>0</v>
      </c>
      <c r="G868" s="86">
        <v>0</v>
      </c>
      <c r="H868" s="86">
        <f t="shared" si="42"/>
        <v>3</v>
      </c>
      <c r="K868" s="86"/>
    </row>
    <row r="869" spans="1:11" x14ac:dyDescent="0.45">
      <c r="A869" s="90" t="s">
        <v>42</v>
      </c>
      <c r="B869" s="86">
        <v>0</v>
      </c>
      <c r="C869" s="86">
        <v>4</v>
      </c>
      <c r="D869" s="86">
        <v>4</v>
      </c>
      <c r="E869" s="86">
        <v>0</v>
      </c>
      <c r="F869" s="86">
        <v>0</v>
      </c>
      <c r="G869" s="86">
        <v>0</v>
      </c>
      <c r="H869" s="86">
        <f t="shared" si="42"/>
        <v>8</v>
      </c>
      <c r="K869" s="86"/>
    </row>
    <row r="870" spans="1:11" x14ac:dyDescent="0.45">
      <c r="A870" s="90" t="s">
        <v>8</v>
      </c>
      <c r="B870" s="86">
        <v>0</v>
      </c>
      <c r="C870" s="86">
        <v>0</v>
      </c>
      <c r="D870" s="86">
        <v>0</v>
      </c>
      <c r="E870" s="86">
        <v>15</v>
      </c>
      <c r="F870" s="86">
        <v>20</v>
      </c>
      <c r="G870" s="86">
        <v>1</v>
      </c>
      <c r="H870" s="86">
        <f t="shared" si="42"/>
        <v>36</v>
      </c>
      <c r="K870" s="86"/>
    </row>
    <row r="871" spans="1:11" x14ac:dyDescent="0.45">
      <c r="A871" s="90" t="s">
        <v>9</v>
      </c>
      <c r="B871" s="86">
        <v>6</v>
      </c>
      <c r="C871" s="86">
        <v>160</v>
      </c>
      <c r="D871" s="86">
        <v>878</v>
      </c>
      <c r="E871" s="86">
        <v>798</v>
      </c>
      <c r="F871" s="86">
        <v>276</v>
      </c>
      <c r="G871" s="86">
        <v>482</v>
      </c>
      <c r="H871" s="86">
        <f t="shared" si="42"/>
        <v>2600</v>
      </c>
      <c r="K871" s="86"/>
    </row>
    <row r="872" spans="1:11" x14ac:dyDescent="0.45">
      <c r="A872" s="90" t="s">
        <v>44</v>
      </c>
      <c r="B872" s="86">
        <v>0</v>
      </c>
      <c r="C872" s="86">
        <v>0</v>
      </c>
      <c r="D872" s="86">
        <v>1</v>
      </c>
      <c r="E872" s="86">
        <v>1</v>
      </c>
      <c r="F872" s="86">
        <v>0</v>
      </c>
      <c r="G872" s="86">
        <v>0</v>
      </c>
      <c r="H872" s="86">
        <f t="shared" si="42"/>
        <v>2</v>
      </c>
      <c r="K872" s="86"/>
    </row>
    <row r="873" spans="1:11" x14ac:dyDescent="0.45">
      <c r="A873" s="90" t="s">
        <v>10</v>
      </c>
      <c r="B873" s="86">
        <v>1</v>
      </c>
      <c r="C873" s="86">
        <v>4</v>
      </c>
      <c r="D873" s="86">
        <v>15</v>
      </c>
      <c r="E873" s="86">
        <v>34</v>
      </c>
      <c r="F873" s="86">
        <v>1</v>
      </c>
      <c r="G873" s="86">
        <v>0</v>
      </c>
      <c r="H873" s="86">
        <f t="shared" si="42"/>
        <v>55</v>
      </c>
      <c r="K873" s="86"/>
    </row>
    <row r="874" spans="1:11" x14ac:dyDescent="0.45">
      <c r="A874" s="90" t="s">
        <v>11</v>
      </c>
      <c r="B874" s="86">
        <v>61</v>
      </c>
      <c r="C874" s="86">
        <v>281</v>
      </c>
      <c r="D874" s="86">
        <v>2109</v>
      </c>
      <c r="E874" s="86">
        <v>1174</v>
      </c>
      <c r="F874" s="86">
        <v>353</v>
      </c>
      <c r="G874" s="86">
        <v>20</v>
      </c>
      <c r="H874" s="86">
        <f t="shared" si="42"/>
        <v>3998</v>
      </c>
      <c r="K874" s="86"/>
    </row>
    <row r="875" spans="1:11" x14ac:dyDescent="0.45">
      <c r="A875" s="90" t="s">
        <v>12</v>
      </c>
      <c r="B875" s="86">
        <v>0</v>
      </c>
      <c r="C875" s="86">
        <v>20</v>
      </c>
      <c r="D875" s="86">
        <v>79</v>
      </c>
      <c r="E875" s="86">
        <v>12</v>
      </c>
      <c r="F875" s="86">
        <v>23</v>
      </c>
      <c r="G875" s="86">
        <v>61</v>
      </c>
      <c r="H875" s="86">
        <f t="shared" si="42"/>
        <v>195</v>
      </c>
      <c r="K875" s="86"/>
    </row>
    <row r="876" spans="1:11" x14ac:dyDescent="0.45">
      <c r="A876" s="90" t="s">
        <v>32</v>
      </c>
      <c r="B876" s="86">
        <v>0</v>
      </c>
      <c r="C876" s="86">
        <v>1</v>
      </c>
      <c r="D876" s="86">
        <v>0</v>
      </c>
      <c r="E876" s="86">
        <v>0</v>
      </c>
      <c r="F876" s="86">
        <v>11</v>
      </c>
      <c r="G876" s="86">
        <v>1</v>
      </c>
      <c r="H876" s="86">
        <f t="shared" si="42"/>
        <v>13</v>
      </c>
      <c r="K876" s="86"/>
    </row>
    <row r="877" spans="1:11" x14ac:dyDescent="0.45">
      <c r="A877" s="90" t="s">
        <v>18</v>
      </c>
      <c r="B877" s="86">
        <v>8</v>
      </c>
      <c r="C877" s="86">
        <v>103</v>
      </c>
      <c r="D877" s="86">
        <v>765</v>
      </c>
      <c r="E877" s="86">
        <v>61</v>
      </c>
      <c r="F877" s="86">
        <v>50</v>
      </c>
      <c r="G877" s="86">
        <v>0</v>
      </c>
      <c r="H877" s="86">
        <f t="shared" si="42"/>
        <v>987</v>
      </c>
      <c r="K877" s="86"/>
    </row>
    <row r="878" spans="1:11" x14ac:dyDescent="0.45">
      <c r="A878" s="90" t="s">
        <v>46</v>
      </c>
      <c r="B878" s="86">
        <v>0</v>
      </c>
      <c r="C878" s="86">
        <v>0</v>
      </c>
      <c r="D878" s="86">
        <v>0</v>
      </c>
      <c r="E878" s="86">
        <v>0</v>
      </c>
      <c r="F878" s="86">
        <v>0</v>
      </c>
      <c r="G878" s="86">
        <v>2</v>
      </c>
      <c r="H878" s="86">
        <f t="shared" si="42"/>
        <v>2</v>
      </c>
      <c r="K878" s="86"/>
    </row>
    <row r="879" spans="1:11" x14ac:dyDescent="0.45">
      <c r="A879" s="90" t="s">
        <v>13</v>
      </c>
      <c r="B879" s="86">
        <v>0</v>
      </c>
      <c r="C879" s="86">
        <v>0</v>
      </c>
      <c r="D879" s="86">
        <v>0</v>
      </c>
      <c r="E879" s="86">
        <v>0</v>
      </c>
      <c r="F879" s="86">
        <v>1</v>
      </c>
      <c r="G879" s="86">
        <v>97</v>
      </c>
      <c r="H879" s="86">
        <f t="shared" si="42"/>
        <v>98</v>
      </c>
      <c r="K879" s="86"/>
    </row>
    <row r="880" spans="1:11" x14ac:dyDescent="0.45">
      <c r="A880" s="90" t="s">
        <v>14</v>
      </c>
      <c r="B880" s="86">
        <v>46</v>
      </c>
      <c r="C880" s="86">
        <v>300</v>
      </c>
      <c r="D880" s="86">
        <v>946</v>
      </c>
      <c r="E880" s="86">
        <v>111</v>
      </c>
      <c r="F880" s="86">
        <v>108</v>
      </c>
      <c r="G880" s="86">
        <v>9</v>
      </c>
      <c r="H880" s="86">
        <f t="shared" si="42"/>
        <v>1520</v>
      </c>
      <c r="K880" s="86"/>
    </row>
    <row r="881" spans="1:11" x14ac:dyDescent="0.45">
      <c r="A881" s="90" t="s">
        <v>40</v>
      </c>
      <c r="B881" s="86">
        <v>0</v>
      </c>
      <c r="C881" s="86">
        <v>1</v>
      </c>
      <c r="D881" s="86">
        <v>0</v>
      </c>
      <c r="E881" s="86">
        <v>1</v>
      </c>
      <c r="F881" s="86">
        <v>3</v>
      </c>
      <c r="G881" s="86">
        <v>1</v>
      </c>
      <c r="H881" s="86">
        <f t="shared" si="42"/>
        <v>6</v>
      </c>
      <c r="K881" s="86"/>
    </row>
    <row r="882" spans="1:11" x14ac:dyDescent="0.45">
      <c r="A882" s="90" t="s">
        <v>52</v>
      </c>
      <c r="B882" s="86">
        <v>0</v>
      </c>
      <c r="C882" s="86">
        <v>0</v>
      </c>
      <c r="D882" s="86">
        <v>0</v>
      </c>
      <c r="E882" s="86">
        <v>0</v>
      </c>
      <c r="F882" s="86">
        <v>0</v>
      </c>
      <c r="G882" s="86">
        <v>0</v>
      </c>
      <c r="H882" s="86">
        <f t="shared" si="42"/>
        <v>0</v>
      </c>
      <c r="K882" s="86"/>
    </row>
    <row r="883" spans="1:11" x14ac:dyDescent="0.45">
      <c r="A883" s="90" t="s">
        <v>53</v>
      </c>
      <c r="B883" s="86">
        <v>0</v>
      </c>
      <c r="C883" s="86">
        <v>0</v>
      </c>
      <c r="D883" s="86">
        <v>0</v>
      </c>
      <c r="E883" s="86">
        <v>0</v>
      </c>
      <c r="F883" s="86">
        <v>1</v>
      </c>
      <c r="G883" s="86">
        <v>0</v>
      </c>
      <c r="H883" s="86">
        <f t="shared" si="42"/>
        <v>1</v>
      </c>
      <c r="K883" s="86"/>
    </row>
    <row r="884" spans="1:11" x14ac:dyDescent="0.45">
      <c r="A884" s="90" t="s">
        <v>15</v>
      </c>
      <c r="B884" s="86">
        <v>1</v>
      </c>
      <c r="C884" s="86">
        <v>9</v>
      </c>
      <c r="D884" s="86">
        <v>0</v>
      </c>
      <c r="E884" s="86">
        <v>1</v>
      </c>
      <c r="F884" s="86">
        <v>2</v>
      </c>
      <c r="G884" s="86">
        <v>0</v>
      </c>
      <c r="H884" s="86">
        <f t="shared" si="42"/>
        <v>13</v>
      </c>
      <c r="K884" s="86"/>
    </row>
    <row r="885" spans="1:11" x14ac:dyDescent="0.45">
      <c r="A885" s="90" t="s">
        <v>54</v>
      </c>
      <c r="B885" s="86">
        <v>0</v>
      </c>
      <c r="C885" s="86">
        <v>0</v>
      </c>
      <c r="D885" s="86">
        <v>2</v>
      </c>
      <c r="E885" s="86">
        <v>20</v>
      </c>
      <c r="F885" s="86">
        <v>14</v>
      </c>
      <c r="G885" s="86">
        <v>0</v>
      </c>
      <c r="H885" s="86">
        <f t="shared" si="42"/>
        <v>36</v>
      </c>
      <c r="K885" s="86"/>
    </row>
    <row r="886" spans="1:11" x14ac:dyDescent="0.45">
      <c r="A886" s="90" t="s">
        <v>47</v>
      </c>
      <c r="B886" s="86">
        <v>0</v>
      </c>
      <c r="C886" s="86">
        <v>36</v>
      </c>
      <c r="D886" s="86">
        <v>7</v>
      </c>
      <c r="E886" s="86">
        <v>6</v>
      </c>
      <c r="F886" s="86">
        <v>0</v>
      </c>
      <c r="G886" s="86">
        <v>0</v>
      </c>
      <c r="H886" s="86">
        <f t="shared" si="42"/>
        <v>49</v>
      </c>
      <c r="K886" s="86"/>
    </row>
    <row r="887" spans="1:11" x14ac:dyDescent="0.45">
      <c r="A887" s="90" t="s">
        <v>16</v>
      </c>
      <c r="B887" s="86">
        <v>0</v>
      </c>
      <c r="C887" s="86">
        <v>0</v>
      </c>
      <c r="D887" s="86">
        <v>0</v>
      </c>
      <c r="E887" s="86">
        <v>0</v>
      </c>
      <c r="F887" s="86">
        <v>0</v>
      </c>
      <c r="G887" s="86">
        <v>0</v>
      </c>
      <c r="H887" s="86">
        <f t="shared" si="42"/>
        <v>0</v>
      </c>
      <c r="K887" s="86"/>
    </row>
    <row r="888" spans="1:11" x14ac:dyDescent="0.45">
      <c r="A888" s="90" t="s">
        <v>55</v>
      </c>
      <c r="B888" s="86">
        <v>0</v>
      </c>
      <c r="C888" s="86">
        <v>4</v>
      </c>
      <c r="D888" s="86">
        <v>0</v>
      </c>
      <c r="E888" s="86">
        <v>0</v>
      </c>
      <c r="F888" s="86">
        <v>0</v>
      </c>
      <c r="G888" s="86">
        <v>0</v>
      </c>
      <c r="H888" s="86">
        <f t="shared" si="42"/>
        <v>4</v>
      </c>
      <c r="K888" s="86"/>
    </row>
    <row r="889" spans="1:11" x14ac:dyDescent="0.45">
      <c r="A889" s="90" t="s">
        <v>17</v>
      </c>
      <c r="B889" s="86">
        <v>0</v>
      </c>
      <c r="C889" s="86">
        <v>0</v>
      </c>
      <c r="D889" s="86">
        <v>3001</v>
      </c>
      <c r="E889" s="86">
        <v>0</v>
      </c>
      <c r="F889" s="86">
        <v>0</v>
      </c>
      <c r="G889" s="86">
        <v>1</v>
      </c>
      <c r="H889" s="86">
        <f t="shared" si="42"/>
        <v>3002</v>
      </c>
      <c r="K889" s="86"/>
    </row>
    <row r="890" spans="1:11" x14ac:dyDescent="0.45">
      <c r="A890" s="90" t="s">
        <v>24</v>
      </c>
      <c r="B890" s="86">
        <v>180</v>
      </c>
      <c r="C890" s="86">
        <v>970</v>
      </c>
      <c r="D890" s="86">
        <v>7904</v>
      </c>
      <c r="E890" s="86">
        <v>2312</v>
      </c>
      <c r="F890" s="86">
        <v>924</v>
      </c>
      <c r="G890" s="86">
        <v>727</v>
      </c>
      <c r="H890" s="86">
        <f t="shared" si="42"/>
        <v>13017</v>
      </c>
      <c r="K890" s="86"/>
    </row>
    <row r="893" spans="1:11" x14ac:dyDescent="0.45">
      <c r="A893" s="1" t="s">
        <v>157</v>
      </c>
    </row>
    <row r="894" spans="1:11" x14ac:dyDescent="0.45">
      <c r="A894" s="1" t="s">
        <v>115</v>
      </c>
    </row>
    <row r="896" spans="1:11" x14ac:dyDescent="0.45">
      <c r="B896" t="s">
        <v>20</v>
      </c>
      <c r="C896" t="s">
        <v>21</v>
      </c>
    </row>
    <row r="897" spans="1:8" x14ac:dyDescent="0.45">
      <c r="A897" s="34" t="s">
        <v>19</v>
      </c>
      <c r="B897" s="91">
        <v>27</v>
      </c>
      <c r="C897" s="91">
        <v>2</v>
      </c>
      <c r="D897" s="91">
        <v>7</v>
      </c>
      <c r="E897" s="91">
        <v>12</v>
      </c>
      <c r="F897" s="91">
        <v>17</v>
      </c>
      <c r="G897" s="91">
        <v>22</v>
      </c>
      <c r="H897" s="22" t="s">
        <v>24</v>
      </c>
    </row>
    <row r="898" spans="1:8" x14ac:dyDescent="0.45">
      <c r="A898" s="90" t="s">
        <v>1</v>
      </c>
      <c r="B898" s="86">
        <v>1</v>
      </c>
      <c r="C898" s="86">
        <v>9</v>
      </c>
      <c r="D898" s="86">
        <v>44</v>
      </c>
      <c r="E898" s="86">
        <v>64</v>
      </c>
      <c r="F898" s="86">
        <v>52</v>
      </c>
      <c r="G898" s="86">
        <v>33</v>
      </c>
      <c r="H898" s="17">
        <f>SUM(B898:G898)</f>
        <v>203</v>
      </c>
    </row>
    <row r="899" spans="1:8" x14ac:dyDescent="0.45">
      <c r="A899" s="90" t="s">
        <v>49</v>
      </c>
      <c r="B899" s="86">
        <v>0</v>
      </c>
      <c r="C899" s="86">
        <v>0</v>
      </c>
      <c r="D899" s="86">
        <v>0</v>
      </c>
      <c r="E899" s="86">
        <v>0</v>
      </c>
      <c r="F899" s="86">
        <v>0</v>
      </c>
      <c r="G899" s="86">
        <v>0</v>
      </c>
      <c r="H899" s="17">
        <f t="shared" ref="H899:H933" si="43">SUM(B899:G899)</f>
        <v>0</v>
      </c>
    </row>
    <row r="900" spans="1:8" x14ac:dyDescent="0.45">
      <c r="A900" s="90" t="s">
        <v>45</v>
      </c>
      <c r="B900" s="86">
        <v>0</v>
      </c>
      <c r="C900" s="86">
        <v>0</v>
      </c>
      <c r="D900" s="86">
        <v>0</v>
      </c>
      <c r="E900" s="86">
        <v>0</v>
      </c>
      <c r="F900" s="86">
        <v>0</v>
      </c>
      <c r="G900" s="86">
        <v>0</v>
      </c>
      <c r="H900" s="17">
        <f t="shared" si="43"/>
        <v>0</v>
      </c>
    </row>
    <row r="901" spans="1:8" x14ac:dyDescent="0.45">
      <c r="A901" s="90" t="s">
        <v>41</v>
      </c>
      <c r="B901" s="86">
        <v>11</v>
      </c>
      <c r="C901" s="86">
        <v>4</v>
      </c>
      <c r="D901" s="86">
        <v>0</v>
      </c>
      <c r="E901" s="86">
        <v>0</v>
      </c>
      <c r="F901" s="86">
        <v>0</v>
      </c>
      <c r="G901" s="86">
        <v>0</v>
      </c>
      <c r="H901" s="17">
        <f t="shared" si="43"/>
        <v>15</v>
      </c>
    </row>
    <row r="902" spans="1:8" x14ac:dyDescent="0.45">
      <c r="A902" s="90" t="s">
        <v>2</v>
      </c>
      <c r="B902" s="86">
        <v>37</v>
      </c>
      <c r="C902" s="86">
        <v>21</v>
      </c>
      <c r="D902" s="86">
        <v>38</v>
      </c>
      <c r="E902" s="86">
        <v>9</v>
      </c>
      <c r="F902" s="86">
        <v>2</v>
      </c>
      <c r="G902" s="86">
        <v>0</v>
      </c>
      <c r="H902" s="17">
        <f t="shared" si="43"/>
        <v>107</v>
      </c>
    </row>
    <row r="903" spans="1:8" x14ac:dyDescent="0.45">
      <c r="A903" s="90" t="s">
        <v>43</v>
      </c>
      <c r="B903" s="86">
        <v>0</v>
      </c>
      <c r="C903" s="86">
        <v>0</v>
      </c>
      <c r="D903" s="86">
        <v>0</v>
      </c>
      <c r="E903" s="86">
        <v>0</v>
      </c>
      <c r="F903" s="86">
        <v>0</v>
      </c>
      <c r="G903" s="86">
        <v>0</v>
      </c>
      <c r="H903" s="17">
        <f t="shared" si="43"/>
        <v>0</v>
      </c>
    </row>
    <row r="904" spans="1:8" x14ac:dyDescent="0.45">
      <c r="A904" s="90" t="s">
        <v>3</v>
      </c>
      <c r="B904" s="86">
        <v>2</v>
      </c>
      <c r="C904" s="86">
        <v>4</v>
      </c>
      <c r="D904" s="86">
        <v>0</v>
      </c>
      <c r="E904" s="86">
        <v>0</v>
      </c>
      <c r="F904" s="86">
        <v>0</v>
      </c>
      <c r="G904" s="86">
        <v>0</v>
      </c>
      <c r="H904" s="17">
        <f t="shared" si="43"/>
        <v>6</v>
      </c>
    </row>
    <row r="905" spans="1:8" x14ac:dyDescent="0.45">
      <c r="A905" s="90" t="s">
        <v>4</v>
      </c>
      <c r="B905" s="86">
        <v>0</v>
      </c>
      <c r="C905" s="86">
        <v>0</v>
      </c>
      <c r="D905" s="86">
        <v>0</v>
      </c>
      <c r="E905" s="86">
        <v>0</v>
      </c>
      <c r="F905" s="86">
        <v>4</v>
      </c>
      <c r="G905" s="86">
        <v>0</v>
      </c>
      <c r="H905" s="17">
        <f t="shared" si="43"/>
        <v>4</v>
      </c>
    </row>
    <row r="906" spans="1:8" x14ac:dyDescent="0.45">
      <c r="A906" s="90" t="s">
        <v>48</v>
      </c>
      <c r="B906" s="86">
        <v>0</v>
      </c>
      <c r="C906" s="86">
        <v>0</v>
      </c>
      <c r="D906" s="86">
        <v>0</v>
      </c>
      <c r="E906" s="86">
        <v>0</v>
      </c>
      <c r="F906" s="86">
        <v>0</v>
      </c>
      <c r="G906" s="86">
        <v>0</v>
      </c>
      <c r="H906" s="17">
        <f t="shared" si="43"/>
        <v>0</v>
      </c>
    </row>
    <row r="907" spans="1:8" x14ac:dyDescent="0.45">
      <c r="A907" s="90" t="s">
        <v>6</v>
      </c>
      <c r="B907" s="86">
        <v>0</v>
      </c>
      <c r="C907" s="86">
        <v>0</v>
      </c>
      <c r="D907" s="86">
        <v>0</v>
      </c>
      <c r="E907" s="86">
        <v>0</v>
      </c>
      <c r="F907" s="86">
        <v>0</v>
      </c>
      <c r="G907" s="86">
        <v>0</v>
      </c>
      <c r="H907" s="17">
        <f t="shared" si="43"/>
        <v>0</v>
      </c>
    </row>
    <row r="908" spans="1:8" x14ac:dyDescent="0.45">
      <c r="A908" s="90" t="s">
        <v>7</v>
      </c>
      <c r="B908" s="86">
        <v>0</v>
      </c>
      <c r="C908" s="86">
        <v>2</v>
      </c>
      <c r="D908" s="86">
        <v>12</v>
      </c>
      <c r="E908" s="86">
        <v>0</v>
      </c>
      <c r="F908" s="86">
        <v>0</v>
      </c>
      <c r="G908" s="86">
        <v>5</v>
      </c>
      <c r="H908" s="17">
        <f t="shared" si="43"/>
        <v>19</v>
      </c>
    </row>
    <row r="909" spans="1:8" x14ac:dyDescent="0.45">
      <c r="A909" s="90" t="s">
        <v>83</v>
      </c>
      <c r="B909" s="86">
        <v>0</v>
      </c>
      <c r="C909" s="86">
        <v>0</v>
      </c>
      <c r="D909" s="86">
        <v>0</v>
      </c>
      <c r="E909" s="86">
        <v>0</v>
      </c>
      <c r="F909" s="86">
        <v>0</v>
      </c>
      <c r="G909" s="86">
        <v>0</v>
      </c>
      <c r="H909" s="17">
        <f t="shared" si="43"/>
        <v>0</v>
      </c>
    </row>
    <row r="910" spans="1:8" x14ac:dyDescent="0.45">
      <c r="A910" s="90" t="s">
        <v>50</v>
      </c>
      <c r="B910" s="86">
        <v>0</v>
      </c>
      <c r="C910" s="86">
        <v>0</v>
      </c>
      <c r="D910" s="86">
        <v>0</v>
      </c>
      <c r="E910" s="86">
        <v>0</v>
      </c>
      <c r="F910" s="86">
        <v>0</v>
      </c>
      <c r="G910" s="86">
        <v>0</v>
      </c>
      <c r="H910" s="17">
        <f t="shared" si="43"/>
        <v>0</v>
      </c>
    </row>
    <row r="911" spans="1:8" x14ac:dyDescent="0.45">
      <c r="A911" s="90" t="s">
        <v>51</v>
      </c>
      <c r="B911" s="86">
        <v>0</v>
      </c>
      <c r="C911" s="86">
        <v>0</v>
      </c>
      <c r="D911" s="86">
        <v>0</v>
      </c>
      <c r="E911" s="86">
        <v>0</v>
      </c>
      <c r="F911" s="86">
        <v>0</v>
      </c>
      <c r="G911" s="86">
        <v>0</v>
      </c>
      <c r="H911" s="17">
        <f t="shared" si="43"/>
        <v>0</v>
      </c>
    </row>
    <row r="912" spans="1:8" x14ac:dyDescent="0.45">
      <c r="A912" s="90" t="s">
        <v>42</v>
      </c>
      <c r="B912" s="86">
        <v>0</v>
      </c>
      <c r="C912" s="86">
        <v>4</v>
      </c>
      <c r="D912" s="86">
        <v>0</v>
      </c>
      <c r="E912" s="86">
        <v>0</v>
      </c>
      <c r="F912" s="86">
        <v>0</v>
      </c>
      <c r="G912" s="86">
        <v>0</v>
      </c>
      <c r="H912" s="17">
        <f t="shared" si="43"/>
        <v>4</v>
      </c>
    </row>
    <row r="913" spans="1:8" x14ac:dyDescent="0.45">
      <c r="A913" s="90" t="s">
        <v>8</v>
      </c>
      <c r="B913" s="86">
        <v>0</v>
      </c>
      <c r="C913" s="86">
        <v>0</v>
      </c>
      <c r="D913" s="86">
        <v>0</v>
      </c>
      <c r="E913" s="86">
        <v>15</v>
      </c>
      <c r="F913" s="86">
        <v>20</v>
      </c>
      <c r="G913" s="86">
        <v>1</v>
      </c>
      <c r="H913" s="17">
        <f t="shared" si="43"/>
        <v>36</v>
      </c>
    </row>
    <row r="914" spans="1:8" x14ac:dyDescent="0.45">
      <c r="A914" s="90" t="s">
        <v>9</v>
      </c>
      <c r="B914" s="86">
        <v>6</v>
      </c>
      <c r="C914" s="86">
        <v>88</v>
      </c>
      <c r="D914" s="86">
        <v>850</v>
      </c>
      <c r="E914" s="86">
        <v>784</v>
      </c>
      <c r="F914" s="86">
        <v>276</v>
      </c>
      <c r="G914" s="86">
        <v>382</v>
      </c>
      <c r="H914" s="17">
        <f t="shared" si="43"/>
        <v>2386</v>
      </c>
    </row>
    <row r="915" spans="1:8" x14ac:dyDescent="0.45">
      <c r="A915" s="90" t="s">
        <v>44</v>
      </c>
      <c r="B915" s="86">
        <v>0</v>
      </c>
      <c r="C915" s="86">
        <v>0</v>
      </c>
      <c r="D915" s="86">
        <v>1</v>
      </c>
      <c r="E915" s="86">
        <v>1</v>
      </c>
      <c r="F915" s="86">
        <v>0</v>
      </c>
      <c r="G915" s="86">
        <v>0</v>
      </c>
      <c r="H915" s="17">
        <f t="shared" si="43"/>
        <v>2</v>
      </c>
    </row>
    <row r="916" spans="1:8" x14ac:dyDescent="0.45">
      <c r="A916" s="90" t="s">
        <v>10</v>
      </c>
      <c r="B916" s="86">
        <v>1</v>
      </c>
      <c r="C916" s="86">
        <v>2</v>
      </c>
      <c r="D916" s="86">
        <v>15</v>
      </c>
      <c r="E916" s="86">
        <v>30</v>
      </c>
      <c r="F916" s="86">
        <v>1</v>
      </c>
      <c r="G916" s="86">
        <v>0</v>
      </c>
      <c r="H916" s="17">
        <f t="shared" si="43"/>
        <v>49</v>
      </c>
    </row>
    <row r="917" spans="1:8" x14ac:dyDescent="0.45">
      <c r="A917" s="90" t="s">
        <v>11</v>
      </c>
      <c r="B917" s="86">
        <v>61</v>
      </c>
      <c r="C917" s="86">
        <v>265</v>
      </c>
      <c r="D917" s="86">
        <v>1989</v>
      </c>
      <c r="E917" s="86">
        <v>1170</v>
      </c>
      <c r="F917" s="86">
        <v>329</v>
      </c>
      <c r="G917" s="86">
        <v>20</v>
      </c>
      <c r="H917" s="17">
        <f t="shared" si="43"/>
        <v>3834</v>
      </c>
    </row>
    <row r="918" spans="1:8" x14ac:dyDescent="0.45">
      <c r="A918" s="90" t="s">
        <v>12</v>
      </c>
      <c r="B918" s="86">
        <v>0</v>
      </c>
      <c r="C918" s="86">
        <v>19</v>
      </c>
      <c r="D918" s="86">
        <v>69</v>
      </c>
      <c r="E918" s="86">
        <v>0</v>
      </c>
      <c r="F918" s="86">
        <v>23</v>
      </c>
      <c r="G918" s="86">
        <v>1</v>
      </c>
      <c r="H918" s="17">
        <f t="shared" si="43"/>
        <v>112</v>
      </c>
    </row>
    <row r="919" spans="1:8" x14ac:dyDescent="0.45">
      <c r="A919" s="90" t="s">
        <v>32</v>
      </c>
      <c r="B919" s="86">
        <v>0</v>
      </c>
      <c r="C919" s="86">
        <v>0</v>
      </c>
      <c r="D919" s="86">
        <v>0</v>
      </c>
      <c r="E919" s="86">
        <v>0</v>
      </c>
      <c r="F919" s="86">
        <v>11</v>
      </c>
      <c r="G919" s="86">
        <v>1</v>
      </c>
      <c r="H919" s="17">
        <f t="shared" si="43"/>
        <v>12</v>
      </c>
    </row>
    <row r="920" spans="1:8" x14ac:dyDescent="0.45">
      <c r="A920" s="90" t="s">
        <v>18</v>
      </c>
      <c r="B920" s="86">
        <v>8</v>
      </c>
      <c r="C920" s="86">
        <v>103</v>
      </c>
      <c r="D920" s="86">
        <v>765</v>
      </c>
      <c r="E920" s="86">
        <v>61</v>
      </c>
      <c r="F920" s="86">
        <v>50</v>
      </c>
      <c r="G920" s="86">
        <v>0</v>
      </c>
      <c r="H920" s="17">
        <f t="shared" si="43"/>
        <v>987</v>
      </c>
    </row>
    <row r="921" spans="1:8" x14ac:dyDescent="0.45">
      <c r="A921" s="90" t="s">
        <v>46</v>
      </c>
      <c r="B921" s="86">
        <v>0</v>
      </c>
      <c r="C921" s="86">
        <v>0</v>
      </c>
      <c r="D921" s="86">
        <v>0</v>
      </c>
      <c r="E921" s="86">
        <v>0</v>
      </c>
      <c r="F921" s="86">
        <v>0</v>
      </c>
      <c r="G921" s="86">
        <v>2</v>
      </c>
      <c r="H921" s="17">
        <f t="shared" si="43"/>
        <v>2</v>
      </c>
    </row>
    <row r="922" spans="1:8" x14ac:dyDescent="0.45">
      <c r="A922" s="90" t="s">
        <v>13</v>
      </c>
      <c r="B922" s="86">
        <v>0</v>
      </c>
      <c r="C922" s="86">
        <v>0</v>
      </c>
      <c r="D922" s="86">
        <v>0</v>
      </c>
      <c r="E922" s="86">
        <v>0</v>
      </c>
      <c r="F922" s="86">
        <v>0</v>
      </c>
      <c r="G922" s="86">
        <v>90</v>
      </c>
      <c r="H922" s="17">
        <f t="shared" si="43"/>
        <v>90</v>
      </c>
    </row>
    <row r="923" spans="1:8" x14ac:dyDescent="0.45">
      <c r="A923" s="90" t="s">
        <v>14</v>
      </c>
      <c r="B923" s="86">
        <v>46</v>
      </c>
      <c r="C923" s="86">
        <v>290</v>
      </c>
      <c r="D923" s="86">
        <v>940</v>
      </c>
      <c r="E923" s="86">
        <v>87</v>
      </c>
      <c r="F923" s="86">
        <v>108</v>
      </c>
      <c r="G923" s="86">
        <v>9</v>
      </c>
      <c r="H923" s="17">
        <f t="shared" si="43"/>
        <v>1480</v>
      </c>
    </row>
    <row r="924" spans="1:8" x14ac:dyDescent="0.45">
      <c r="A924" s="90" t="s">
        <v>40</v>
      </c>
      <c r="B924" s="86">
        <v>0</v>
      </c>
      <c r="C924" s="86">
        <v>1</v>
      </c>
      <c r="D924" s="86">
        <v>0</v>
      </c>
      <c r="E924" s="86">
        <v>1</v>
      </c>
      <c r="F924" s="86">
        <v>3</v>
      </c>
      <c r="G924" s="86">
        <v>1</v>
      </c>
      <c r="H924" s="17">
        <f t="shared" si="43"/>
        <v>6</v>
      </c>
    </row>
    <row r="925" spans="1:8" x14ac:dyDescent="0.45">
      <c r="A925" s="90" t="s">
        <v>52</v>
      </c>
      <c r="B925" s="86">
        <v>0</v>
      </c>
      <c r="C925" s="86">
        <v>0</v>
      </c>
      <c r="D925" s="86">
        <v>0</v>
      </c>
      <c r="E925" s="86">
        <v>0</v>
      </c>
      <c r="F925" s="86">
        <v>0</v>
      </c>
      <c r="G925" s="86">
        <v>0</v>
      </c>
      <c r="H925" s="17">
        <f t="shared" si="43"/>
        <v>0</v>
      </c>
    </row>
    <row r="926" spans="1:8" x14ac:dyDescent="0.45">
      <c r="A926" s="90" t="s">
        <v>53</v>
      </c>
      <c r="B926" s="86">
        <v>0</v>
      </c>
      <c r="C926" s="86">
        <v>0</v>
      </c>
      <c r="D926" s="86">
        <v>0</v>
      </c>
      <c r="E926" s="86">
        <v>0</v>
      </c>
      <c r="F926" s="86">
        <v>1</v>
      </c>
      <c r="G926" s="86">
        <v>0</v>
      </c>
      <c r="H926" s="17">
        <f t="shared" si="43"/>
        <v>1</v>
      </c>
    </row>
    <row r="927" spans="1:8" x14ac:dyDescent="0.45">
      <c r="A927" s="90" t="s">
        <v>15</v>
      </c>
      <c r="B927" s="86">
        <v>1</v>
      </c>
      <c r="C927" s="86">
        <v>0</v>
      </c>
      <c r="D927" s="86">
        <v>0</v>
      </c>
      <c r="E927" s="86">
        <v>0</v>
      </c>
      <c r="F927" s="86">
        <v>2</v>
      </c>
      <c r="G927" s="86">
        <v>0</v>
      </c>
      <c r="H927" s="17">
        <f t="shared" si="43"/>
        <v>3</v>
      </c>
    </row>
    <row r="928" spans="1:8" x14ac:dyDescent="0.45">
      <c r="A928" s="90" t="s">
        <v>54</v>
      </c>
      <c r="B928" s="86">
        <v>0</v>
      </c>
      <c r="C928" s="86">
        <v>0</v>
      </c>
      <c r="D928" s="86">
        <v>0</v>
      </c>
      <c r="E928" s="86">
        <v>0</v>
      </c>
      <c r="F928" s="86">
        <v>0</v>
      </c>
      <c r="G928" s="86">
        <v>0</v>
      </c>
      <c r="H928" s="17">
        <f t="shared" si="43"/>
        <v>0</v>
      </c>
    </row>
    <row r="929" spans="1:8" x14ac:dyDescent="0.45">
      <c r="A929" s="90" t="s">
        <v>47</v>
      </c>
      <c r="B929" s="86">
        <v>0</v>
      </c>
      <c r="C929" s="86">
        <v>30</v>
      </c>
      <c r="D929" s="86">
        <v>7</v>
      </c>
      <c r="E929" s="86">
        <v>6</v>
      </c>
      <c r="F929" s="86">
        <v>0</v>
      </c>
      <c r="G929" s="86">
        <v>0</v>
      </c>
      <c r="H929" s="17">
        <f t="shared" si="43"/>
        <v>43</v>
      </c>
    </row>
    <row r="930" spans="1:8" x14ac:dyDescent="0.45">
      <c r="A930" s="90" t="s">
        <v>16</v>
      </c>
      <c r="B930" s="86">
        <v>0</v>
      </c>
      <c r="C930" s="86">
        <v>0</v>
      </c>
      <c r="D930" s="86">
        <v>0</v>
      </c>
      <c r="E930" s="86">
        <v>0</v>
      </c>
      <c r="F930" s="86">
        <v>0</v>
      </c>
      <c r="G930" s="86">
        <v>0</v>
      </c>
      <c r="H930" s="17">
        <f t="shared" si="43"/>
        <v>0</v>
      </c>
    </row>
    <row r="931" spans="1:8" x14ac:dyDescent="0.45">
      <c r="A931" s="90" t="s">
        <v>55</v>
      </c>
      <c r="B931" s="86">
        <v>0</v>
      </c>
      <c r="C931" s="86">
        <v>0</v>
      </c>
      <c r="D931" s="86">
        <v>0</v>
      </c>
      <c r="E931" s="86">
        <v>0</v>
      </c>
      <c r="F931" s="86">
        <v>0</v>
      </c>
      <c r="G931" s="86">
        <v>0</v>
      </c>
      <c r="H931" s="17">
        <f t="shared" si="43"/>
        <v>0</v>
      </c>
    </row>
    <row r="932" spans="1:8" x14ac:dyDescent="0.45">
      <c r="A932" s="90" t="s">
        <v>17</v>
      </c>
      <c r="B932" s="86">
        <v>0</v>
      </c>
      <c r="C932" s="86">
        <v>0</v>
      </c>
      <c r="D932" s="86">
        <v>1</v>
      </c>
      <c r="E932" s="86">
        <v>0</v>
      </c>
      <c r="F932" s="86">
        <v>0</v>
      </c>
      <c r="G932" s="86">
        <v>0</v>
      </c>
      <c r="H932" s="17">
        <f t="shared" si="43"/>
        <v>1</v>
      </c>
    </row>
    <row r="933" spans="1:8" x14ac:dyDescent="0.45">
      <c r="A933" s="90" t="s">
        <v>24</v>
      </c>
      <c r="B933" s="86">
        <v>174</v>
      </c>
      <c r="C933" s="86">
        <v>842</v>
      </c>
      <c r="D933" s="86">
        <v>4731</v>
      </c>
      <c r="E933" s="86">
        <v>2228</v>
      </c>
      <c r="F933" s="86">
        <v>882</v>
      </c>
      <c r="G933" s="86">
        <v>545</v>
      </c>
      <c r="H933" s="17">
        <f t="shared" si="43"/>
        <v>9402</v>
      </c>
    </row>
    <row r="936" spans="1:8" x14ac:dyDescent="0.45">
      <c r="A936" s="37" t="s">
        <v>211</v>
      </c>
      <c r="B936" s="180"/>
      <c r="C936" s="180"/>
    </row>
    <row r="937" spans="1:8" x14ac:dyDescent="0.45">
      <c r="A937" s="1" t="s">
        <v>113</v>
      </c>
      <c r="B937" s="180"/>
      <c r="C937" s="180"/>
    </row>
    <row r="938" spans="1:8" x14ac:dyDescent="0.45">
      <c r="A938" s="180"/>
      <c r="B938" t="s">
        <v>20</v>
      </c>
      <c r="C938" t="s">
        <v>21</v>
      </c>
    </row>
    <row r="939" spans="1:8" x14ac:dyDescent="0.45">
      <c r="A939" s="34" t="s">
        <v>19</v>
      </c>
      <c r="B939" s="91">
        <v>26</v>
      </c>
      <c r="C939" s="91">
        <v>1</v>
      </c>
      <c r="D939" s="91">
        <v>6</v>
      </c>
      <c r="E939" s="91">
        <v>11</v>
      </c>
      <c r="F939" s="91">
        <v>16</v>
      </c>
      <c r="G939" s="91">
        <v>21</v>
      </c>
      <c r="H939" s="22" t="s">
        <v>24</v>
      </c>
    </row>
    <row r="940" spans="1:8" x14ac:dyDescent="0.45">
      <c r="A940" s="90" t="s">
        <v>1</v>
      </c>
      <c r="B940" s="86">
        <v>0</v>
      </c>
      <c r="C940" s="86">
        <v>16</v>
      </c>
      <c r="D940" s="86">
        <v>23</v>
      </c>
      <c r="E940" s="86">
        <v>53</v>
      </c>
      <c r="F940" s="86">
        <v>96</v>
      </c>
      <c r="G940" s="86">
        <v>51</v>
      </c>
      <c r="H940" s="86">
        <f>SUM(B940:G940)</f>
        <v>239</v>
      </c>
    </row>
    <row r="941" spans="1:8" x14ac:dyDescent="0.45">
      <c r="A941" s="90" t="s">
        <v>49</v>
      </c>
      <c r="B941" s="86">
        <v>0</v>
      </c>
      <c r="C941" s="86">
        <v>0</v>
      </c>
      <c r="D941" s="86">
        <v>0</v>
      </c>
      <c r="E941" s="86">
        <v>0</v>
      </c>
      <c r="F941" s="86">
        <v>0</v>
      </c>
      <c r="G941" s="86">
        <v>0</v>
      </c>
      <c r="H941" s="86">
        <f t="shared" ref="H941:H975" si="44">SUM(B941:G941)</f>
        <v>0</v>
      </c>
    </row>
    <row r="942" spans="1:8" x14ac:dyDescent="0.45">
      <c r="A942" s="90" t="s">
        <v>45</v>
      </c>
      <c r="B942" s="86">
        <v>0</v>
      </c>
      <c r="C942" s="86">
        <v>0</v>
      </c>
      <c r="D942" s="86">
        <v>0</v>
      </c>
      <c r="E942" s="86">
        <v>0</v>
      </c>
      <c r="F942" s="86">
        <v>0</v>
      </c>
      <c r="G942" s="86">
        <v>0</v>
      </c>
      <c r="H942" s="86">
        <f t="shared" si="44"/>
        <v>0</v>
      </c>
    </row>
    <row r="943" spans="1:8" x14ac:dyDescent="0.45">
      <c r="A943" s="90" t="s">
        <v>41</v>
      </c>
      <c r="B943" s="86">
        <v>0</v>
      </c>
      <c r="C943" s="86">
        <v>0</v>
      </c>
      <c r="D943" s="86">
        <v>0</v>
      </c>
      <c r="E943" s="86">
        <v>2</v>
      </c>
      <c r="F943" s="86">
        <v>2</v>
      </c>
      <c r="G943" s="86">
        <v>0</v>
      </c>
      <c r="H943" s="86">
        <f t="shared" si="44"/>
        <v>4</v>
      </c>
    </row>
    <row r="944" spans="1:8" x14ac:dyDescent="0.45">
      <c r="A944" s="90" t="s">
        <v>2</v>
      </c>
      <c r="B944" s="86">
        <v>32</v>
      </c>
      <c r="C944" s="86">
        <v>141</v>
      </c>
      <c r="D944" s="86">
        <v>20</v>
      </c>
      <c r="E944" s="86">
        <v>13</v>
      </c>
      <c r="F944" s="86">
        <v>2</v>
      </c>
      <c r="G944" s="86">
        <v>2</v>
      </c>
      <c r="H944" s="86">
        <f t="shared" si="44"/>
        <v>210</v>
      </c>
    </row>
    <row r="945" spans="1:8" x14ac:dyDescent="0.45">
      <c r="A945" s="90" t="s">
        <v>43</v>
      </c>
      <c r="B945" s="86">
        <v>0</v>
      </c>
      <c r="C945" s="86">
        <v>0</v>
      </c>
      <c r="D945" s="86">
        <v>6</v>
      </c>
      <c r="E945" s="86">
        <v>2</v>
      </c>
      <c r="F945" s="86">
        <v>0</v>
      </c>
      <c r="G945" s="86">
        <v>2</v>
      </c>
      <c r="H945" s="86">
        <f t="shared" si="44"/>
        <v>10</v>
      </c>
    </row>
    <row r="946" spans="1:8" x14ac:dyDescent="0.45">
      <c r="A946" s="90" t="s">
        <v>3</v>
      </c>
      <c r="B946" s="86">
        <v>4</v>
      </c>
      <c r="C946" s="86">
        <v>3</v>
      </c>
      <c r="D946" s="86">
        <v>12</v>
      </c>
      <c r="E946" s="86">
        <v>4</v>
      </c>
      <c r="F946" s="86">
        <v>4</v>
      </c>
      <c r="G946" s="86">
        <v>3</v>
      </c>
      <c r="H946" s="86">
        <f t="shared" si="44"/>
        <v>30</v>
      </c>
    </row>
    <row r="947" spans="1:8" x14ac:dyDescent="0.45">
      <c r="A947" s="90" t="s">
        <v>4</v>
      </c>
      <c r="B947" s="86">
        <v>0</v>
      </c>
      <c r="C947" s="86">
        <v>3</v>
      </c>
      <c r="D947" s="86">
        <v>1</v>
      </c>
      <c r="E947" s="86">
        <v>4</v>
      </c>
      <c r="F947" s="86">
        <v>1</v>
      </c>
      <c r="G947" s="86">
        <v>1</v>
      </c>
      <c r="H947" s="86">
        <f t="shared" si="44"/>
        <v>10</v>
      </c>
    </row>
    <row r="948" spans="1:8" x14ac:dyDescent="0.45">
      <c r="A948" s="90" t="s">
        <v>48</v>
      </c>
      <c r="B948" s="86">
        <v>0</v>
      </c>
      <c r="C948" s="86">
        <v>0</v>
      </c>
      <c r="D948" s="86">
        <v>5</v>
      </c>
      <c r="E948" s="86">
        <v>0</v>
      </c>
      <c r="F948" s="86">
        <v>0</v>
      </c>
      <c r="G948" s="86">
        <v>0</v>
      </c>
      <c r="H948" s="86">
        <f t="shared" si="44"/>
        <v>5</v>
      </c>
    </row>
    <row r="949" spans="1:8" x14ac:dyDescent="0.45">
      <c r="A949" s="90" t="s">
        <v>6</v>
      </c>
      <c r="B949" s="86">
        <v>0</v>
      </c>
      <c r="C949" s="86">
        <v>0</v>
      </c>
      <c r="D949" s="86">
        <v>0</v>
      </c>
      <c r="E949" s="86">
        <v>0</v>
      </c>
      <c r="F949" s="86">
        <v>0</v>
      </c>
      <c r="G949" s="86">
        <v>0</v>
      </c>
      <c r="H949" s="86">
        <f t="shared" si="44"/>
        <v>0</v>
      </c>
    </row>
    <row r="950" spans="1:8" x14ac:dyDescent="0.45">
      <c r="A950" s="90" t="s">
        <v>7</v>
      </c>
      <c r="B950" s="86">
        <v>0</v>
      </c>
      <c r="C950" s="86">
        <v>3</v>
      </c>
      <c r="D950" s="86">
        <v>4</v>
      </c>
      <c r="E950" s="86">
        <v>2</v>
      </c>
      <c r="F950" s="86">
        <v>19</v>
      </c>
      <c r="G950" s="86">
        <v>0</v>
      </c>
      <c r="H950" s="86">
        <f t="shared" si="44"/>
        <v>28</v>
      </c>
    </row>
    <row r="951" spans="1:8" x14ac:dyDescent="0.45">
      <c r="A951" s="90" t="s">
        <v>83</v>
      </c>
      <c r="B951" s="86">
        <v>0</v>
      </c>
      <c r="C951" s="86">
        <v>0</v>
      </c>
      <c r="D951" s="86">
        <v>0</v>
      </c>
      <c r="E951" s="86">
        <v>0</v>
      </c>
      <c r="F951" s="86">
        <v>0</v>
      </c>
      <c r="G951" s="86">
        <v>0</v>
      </c>
      <c r="H951" s="86">
        <f t="shared" si="44"/>
        <v>0</v>
      </c>
    </row>
    <row r="952" spans="1:8" x14ac:dyDescent="0.45">
      <c r="A952" s="90" t="s">
        <v>50</v>
      </c>
      <c r="B952" s="86">
        <v>0</v>
      </c>
      <c r="C952" s="86">
        <v>0</v>
      </c>
      <c r="D952" s="86">
        <v>0</v>
      </c>
      <c r="E952" s="86">
        <v>0</v>
      </c>
      <c r="F952" s="86">
        <v>0</v>
      </c>
      <c r="G952" s="86">
        <v>0</v>
      </c>
      <c r="H952" s="86">
        <f t="shared" si="44"/>
        <v>0</v>
      </c>
    </row>
    <row r="953" spans="1:8" x14ac:dyDescent="0.45">
      <c r="A953" s="90" t="s">
        <v>51</v>
      </c>
      <c r="B953" s="86">
        <v>0</v>
      </c>
      <c r="C953" s="86">
        <v>0</v>
      </c>
      <c r="D953" s="86">
        <v>0</v>
      </c>
      <c r="E953" s="86">
        <v>0</v>
      </c>
      <c r="F953" s="86">
        <v>0</v>
      </c>
      <c r="G953" s="86">
        <v>0</v>
      </c>
      <c r="H953" s="86">
        <f t="shared" si="44"/>
        <v>0</v>
      </c>
    </row>
    <row r="954" spans="1:8" x14ac:dyDescent="0.45">
      <c r="A954" s="90" t="s">
        <v>42</v>
      </c>
      <c r="B954" s="86">
        <v>0</v>
      </c>
      <c r="C954" s="86">
        <v>0</v>
      </c>
      <c r="D954" s="86">
        <v>4</v>
      </c>
      <c r="E954" s="86">
        <v>0</v>
      </c>
      <c r="F954" s="86">
        <v>0</v>
      </c>
      <c r="G954" s="86">
        <v>0</v>
      </c>
      <c r="H954" s="86">
        <f t="shared" si="44"/>
        <v>4</v>
      </c>
    </row>
    <row r="955" spans="1:8" x14ac:dyDescent="0.45">
      <c r="A955" s="90" t="s">
        <v>8</v>
      </c>
      <c r="B955" s="86">
        <v>0</v>
      </c>
      <c r="C955" s="86">
        <v>0</v>
      </c>
      <c r="D955" s="86">
        <v>1</v>
      </c>
      <c r="E955" s="86">
        <v>18</v>
      </c>
      <c r="F955" s="86">
        <v>12</v>
      </c>
      <c r="G955" s="86">
        <v>8</v>
      </c>
      <c r="H955" s="86">
        <f t="shared" si="44"/>
        <v>39</v>
      </c>
    </row>
    <row r="956" spans="1:8" x14ac:dyDescent="0.45">
      <c r="A956" s="90" t="s">
        <v>9</v>
      </c>
      <c r="B956" s="86">
        <v>0</v>
      </c>
      <c r="C956" s="86">
        <v>118</v>
      </c>
      <c r="D956" s="86">
        <v>1240</v>
      </c>
      <c r="E956" s="86">
        <v>663</v>
      </c>
      <c r="F956" s="86">
        <v>40</v>
      </c>
      <c r="G956" s="86">
        <v>50</v>
      </c>
      <c r="H956" s="86">
        <f t="shared" si="44"/>
        <v>2111</v>
      </c>
    </row>
    <row r="957" spans="1:8" x14ac:dyDescent="0.45">
      <c r="A957" s="90" t="s">
        <v>44</v>
      </c>
      <c r="B957" s="86">
        <v>0</v>
      </c>
      <c r="C957" s="86">
        <v>0</v>
      </c>
      <c r="D957" s="86">
        <v>4</v>
      </c>
      <c r="E957" s="86">
        <v>0</v>
      </c>
      <c r="F957" s="86">
        <v>0</v>
      </c>
      <c r="G957" s="86">
        <v>0</v>
      </c>
      <c r="H957" s="86">
        <f t="shared" si="44"/>
        <v>4</v>
      </c>
    </row>
    <row r="958" spans="1:8" x14ac:dyDescent="0.45">
      <c r="A958" s="90" t="s">
        <v>10</v>
      </c>
      <c r="B958" s="86">
        <v>0</v>
      </c>
      <c r="C958" s="86">
        <v>0</v>
      </c>
      <c r="D958" s="86">
        <v>325</v>
      </c>
      <c r="E958" s="86">
        <v>27</v>
      </c>
      <c r="F958" s="86">
        <v>0</v>
      </c>
      <c r="G958" s="86">
        <v>0</v>
      </c>
      <c r="H958" s="86">
        <f t="shared" si="44"/>
        <v>352</v>
      </c>
    </row>
    <row r="959" spans="1:8" x14ac:dyDescent="0.45">
      <c r="A959" s="90" t="s">
        <v>11</v>
      </c>
      <c r="B959" s="86">
        <v>1</v>
      </c>
      <c r="C959" s="86">
        <v>100</v>
      </c>
      <c r="D959" s="86">
        <v>301</v>
      </c>
      <c r="E959" s="86">
        <v>1251</v>
      </c>
      <c r="F959" s="86">
        <v>594</v>
      </c>
      <c r="G959" s="86">
        <v>20</v>
      </c>
      <c r="H959" s="86">
        <f t="shared" si="44"/>
        <v>2267</v>
      </c>
    </row>
    <row r="960" spans="1:8" x14ac:dyDescent="0.45">
      <c r="A960" s="90" t="s">
        <v>12</v>
      </c>
      <c r="B960" s="86">
        <v>0</v>
      </c>
      <c r="C960" s="86">
        <v>45</v>
      </c>
      <c r="D960" s="86">
        <v>3</v>
      </c>
      <c r="E960" s="86">
        <v>28</v>
      </c>
      <c r="F960" s="86">
        <v>86</v>
      </c>
      <c r="G960" s="86">
        <v>0</v>
      </c>
      <c r="H960" s="86">
        <f t="shared" si="44"/>
        <v>162</v>
      </c>
    </row>
    <row r="961" spans="1:8" x14ac:dyDescent="0.45">
      <c r="A961" s="90" t="s">
        <v>32</v>
      </c>
      <c r="B961" s="86">
        <v>0</v>
      </c>
      <c r="C961" s="86">
        <v>2</v>
      </c>
      <c r="D961" s="86">
        <v>0</v>
      </c>
      <c r="E961" s="86">
        <v>0</v>
      </c>
      <c r="F961" s="86">
        <v>27</v>
      </c>
      <c r="G961" s="86">
        <v>4</v>
      </c>
      <c r="H961" s="86">
        <f t="shared" si="44"/>
        <v>33</v>
      </c>
    </row>
    <row r="962" spans="1:8" x14ac:dyDescent="0.45">
      <c r="A962" s="90" t="s">
        <v>18</v>
      </c>
      <c r="B962" s="86">
        <v>0</v>
      </c>
      <c r="C962" s="86">
        <v>10</v>
      </c>
      <c r="D962" s="86">
        <v>94</v>
      </c>
      <c r="E962" s="86">
        <v>30</v>
      </c>
      <c r="F962" s="86">
        <v>166</v>
      </c>
      <c r="G962" s="86">
        <v>6</v>
      </c>
      <c r="H962" s="86">
        <f t="shared" si="44"/>
        <v>306</v>
      </c>
    </row>
    <row r="963" spans="1:8" x14ac:dyDescent="0.45">
      <c r="A963" s="90" t="s">
        <v>46</v>
      </c>
      <c r="B963" s="86">
        <v>0</v>
      </c>
      <c r="C963" s="86">
        <v>0</v>
      </c>
      <c r="D963" s="86">
        <v>0</v>
      </c>
      <c r="E963" s="86">
        <v>0</v>
      </c>
      <c r="F963" s="86">
        <v>0</v>
      </c>
      <c r="G963" s="86">
        <v>0</v>
      </c>
      <c r="H963" s="86">
        <f t="shared" si="44"/>
        <v>0</v>
      </c>
    </row>
    <row r="964" spans="1:8" x14ac:dyDescent="0.45">
      <c r="A964" s="90" t="s">
        <v>13</v>
      </c>
      <c r="B964" s="86">
        <v>0</v>
      </c>
      <c r="C964" s="86">
        <v>0</v>
      </c>
      <c r="D964" s="86">
        <v>0</v>
      </c>
      <c r="E964" s="86">
        <v>6</v>
      </c>
      <c r="F964" s="86">
        <v>5</v>
      </c>
      <c r="G964" s="86">
        <v>0</v>
      </c>
      <c r="H964" s="86">
        <f t="shared" si="44"/>
        <v>11</v>
      </c>
    </row>
    <row r="965" spans="1:8" x14ac:dyDescent="0.45">
      <c r="A965" s="90" t="s">
        <v>14</v>
      </c>
      <c r="B965" s="86">
        <v>15</v>
      </c>
      <c r="C965" s="86">
        <v>75</v>
      </c>
      <c r="D965" s="86">
        <v>122</v>
      </c>
      <c r="E965" s="86">
        <v>404</v>
      </c>
      <c r="F965" s="86">
        <v>204</v>
      </c>
      <c r="G965" s="86">
        <v>5</v>
      </c>
      <c r="H965" s="86">
        <f t="shared" si="44"/>
        <v>825</v>
      </c>
    </row>
    <row r="966" spans="1:8" x14ac:dyDescent="0.45">
      <c r="A966" s="90" t="s">
        <v>40</v>
      </c>
      <c r="B966" s="86">
        <v>0</v>
      </c>
      <c r="C966" s="86">
        <v>2</v>
      </c>
      <c r="D966" s="86">
        <v>0</v>
      </c>
      <c r="E966" s="86">
        <v>0</v>
      </c>
      <c r="F966" s="86">
        <v>0</v>
      </c>
      <c r="G966" s="86">
        <v>0</v>
      </c>
      <c r="H966" s="86">
        <f t="shared" si="44"/>
        <v>2</v>
      </c>
    </row>
    <row r="967" spans="1:8" x14ac:dyDescent="0.45">
      <c r="A967" s="90" t="s">
        <v>52</v>
      </c>
      <c r="B967" s="86">
        <v>0</v>
      </c>
      <c r="C967" s="86">
        <v>0</v>
      </c>
      <c r="D967" s="86">
        <v>0</v>
      </c>
      <c r="E967" s="86">
        <v>0</v>
      </c>
      <c r="F967" s="86">
        <v>0</v>
      </c>
      <c r="G967" s="86">
        <v>0</v>
      </c>
      <c r="H967" s="86">
        <f t="shared" si="44"/>
        <v>0</v>
      </c>
    </row>
    <row r="968" spans="1:8" x14ac:dyDescent="0.45">
      <c r="A968" s="90" t="s">
        <v>53</v>
      </c>
      <c r="B968" s="86">
        <v>0</v>
      </c>
      <c r="C968" s="86">
        <v>0</v>
      </c>
      <c r="D968" s="86">
        <v>0</v>
      </c>
      <c r="E968" s="86">
        <v>0</v>
      </c>
      <c r="F968" s="86">
        <v>0</v>
      </c>
      <c r="G968" s="86">
        <v>1</v>
      </c>
      <c r="H968" s="86">
        <f t="shared" si="44"/>
        <v>1</v>
      </c>
    </row>
    <row r="969" spans="1:8" x14ac:dyDescent="0.45">
      <c r="A969" s="90" t="s">
        <v>15</v>
      </c>
      <c r="B969" s="86">
        <v>0</v>
      </c>
      <c r="C969" s="86">
        <v>0</v>
      </c>
      <c r="D969" s="86">
        <v>0</v>
      </c>
      <c r="E969" s="86">
        <v>0</v>
      </c>
      <c r="F969" s="86">
        <v>0</v>
      </c>
      <c r="G969" s="86">
        <v>0</v>
      </c>
      <c r="H969" s="86">
        <f t="shared" si="44"/>
        <v>0</v>
      </c>
    </row>
    <row r="970" spans="1:8" x14ac:dyDescent="0.45">
      <c r="A970" s="90" t="s">
        <v>54</v>
      </c>
      <c r="B970" s="86">
        <v>0</v>
      </c>
      <c r="C970" s="86">
        <v>0</v>
      </c>
      <c r="D970" s="86">
        <v>0</v>
      </c>
      <c r="E970" s="86">
        <v>0</v>
      </c>
      <c r="F970" s="86">
        <v>0</v>
      </c>
      <c r="G970" s="86">
        <v>0</v>
      </c>
      <c r="H970" s="86">
        <f t="shared" si="44"/>
        <v>0</v>
      </c>
    </row>
    <row r="971" spans="1:8" x14ac:dyDescent="0.45">
      <c r="A971" s="90" t="s">
        <v>47</v>
      </c>
      <c r="B971" s="86">
        <v>0</v>
      </c>
      <c r="C971" s="86">
        <v>4</v>
      </c>
      <c r="D971" s="86">
        <v>1</v>
      </c>
      <c r="E971" s="86">
        <v>17</v>
      </c>
      <c r="F971" s="86">
        <v>37</v>
      </c>
      <c r="G971" s="86">
        <v>6</v>
      </c>
      <c r="H971" s="86">
        <f t="shared" si="44"/>
        <v>65</v>
      </c>
    </row>
    <row r="972" spans="1:8" x14ac:dyDescent="0.45">
      <c r="A972" s="90" t="s">
        <v>16</v>
      </c>
      <c r="B972" s="86">
        <v>0</v>
      </c>
      <c r="C972" s="86">
        <v>0</v>
      </c>
      <c r="D972" s="86">
        <v>0</v>
      </c>
      <c r="E972" s="86">
        <v>0</v>
      </c>
      <c r="F972" s="86">
        <v>0</v>
      </c>
      <c r="G972" s="86">
        <v>0</v>
      </c>
      <c r="H972" s="86">
        <f t="shared" si="44"/>
        <v>0</v>
      </c>
    </row>
    <row r="973" spans="1:8" x14ac:dyDescent="0.45">
      <c r="A973" s="90" t="s">
        <v>55</v>
      </c>
      <c r="B973" s="86">
        <v>0</v>
      </c>
      <c r="C973" s="86">
        <v>0</v>
      </c>
      <c r="D973" s="86">
        <v>0</v>
      </c>
      <c r="E973" s="86">
        <v>0</v>
      </c>
      <c r="F973" s="86">
        <v>0</v>
      </c>
      <c r="G973" s="86">
        <v>0</v>
      </c>
      <c r="H973" s="86">
        <f t="shared" si="44"/>
        <v>0</v>
      </c>
    </row>
    <row r="974" spans="1:8" x14ac:dyDescent="0.45">
      <c r="A974" s="90" t="s">
        <v>17</v>
      </c>
      <c r="B974" s="86">
        <v>0</v>
      </c>
      <c r="C974" s="86">
        <v>0</v>
      </c>
      <c r="D974" s="86">
        <v>1500</v>
      </c>
      <c r="E974" s="86">
        <v>1</v>
      </c>
      <c r="F974" s="86">
        <v>0</v>
      </c>
      <c r="G974" s="86">
        <v>1</v>
      </c>
      <c r="H974" s="86">
        <f t="shared" si="44"/>
        <v>1502</v>
      </c>
    </row>
    <row r="975" spans="1:8" x14ac:dyDescent="0.45">
      <c r="A975" s="90" t="s">
        <v>24</v>
      </c>
      <c r="B975" s="86">
        <v>52</v>
      </c>
      <c r="C975" s="86">
        <v>522</v>
      </c>
      <c r="D975" s="86">
        <v>3666</v>
      </c>
      <c r="E975" s="86">
        <v>2525</v>
      </c>
      <c r="F975" s="86">
        <v>1295</v>
      </c>
      <c r="G975" s="86">
        <v>160</v>
      </c>
      <c r="H975" s="86">
        <f t="shared" si="44"/>
        <v>8220</v>
      </c>
    </row>
    <row r="978" spans="1:8" x14ac:dyDescent="0.45">
      <c r="A978" s="1" t="s">
        <v>167</v>
      </c>
    </row>
    <row r="979" spans="1:8" x14ac:dyDescent="0.45">
      <c r="A979" s="1" t="s">
        <v>115</v>
      </c>
    </row>
    <row r="981" spans="1:8" x14ac:dyDescent="0.45">
      <c r="B981" t="s">
        <v>20</v>
      </c>
      <c r="C981" t="s">
        <v>21</v>
      </c>
    </row>
    <row r="982" spans="1:8" x14ac:dyDescent="0.45">
      <c r="A982" s="34" t="s">
        <v>19</v>
      </c>
      <c r="B982" s="91">
        <v>26</v>
      </c>
      <c r="C982" s="91">
        <v>1</v>
      </c>
      <c r="D982" s="91">
        <v>6</v>
      </c>
      <c r="E982" s="91">
        <v>11</v>
      </c>
      <c r="F982" s="91">
        <v>16</v>
      </c>
      <c r="G982" s="91">
        <v>21</v>
      </c>
      <c r="H982" s="22" t="s">
        <v>24</v>
      </c>
    </row>
    <row r="983" spans="1:8" x14ac:dyDescent="0.45">
      <c r="A983" s="90" t="s">
        <v>1</v>
      </c>
      <c r="B983" s="86">
        <v>0</v>
      </c>
      <c r="C983" s="86">
        <v>12</v>
      </c>
      <c r="D983" s="86">
        <v>23</v>
      </c>
      <c r="E983" s="86">
        <v>50</v>
      </c>
      <c r="F983" s="86">
        <v>96</v>
      </c>
      <c r="G983" s="86">
        <v>50</v>
      </c>
      <c r="H983" s="86">
        <f>SUM(B983:G983)</f>
        <v>231</v>
      </c>
    </row>
    <row r="984" spans="1:8" x14ac:dyDescent="0.45">
      <c r="A984" s="90" t="s">
        <v>49</v>
      </c>
      <c r="B984" s="86">
        <v>0</v>
      </c>
      <c r="C984" s="86">
        <v>0</v>
      </c>
      <c r="D984" s="86">
        <v>0</v>
      </c>
      <c r="E984" s="86">
        <v>0</v>
      </c>
      <c r="F984" s="86">
        <v>0</v>
      </c>
      <c r="G984" s="86">
        <v>0</v>
      </c>
      <c r="H984" s="86">
        <f t="shared" ref="H984:H1018" si="45">SUM(B984:G984)</f>
        <v>0</v>
      </c>
    </row>
    <row r="985" spans="1:8" x14ac:dyDescent="0.45">
      <c r="A985" s="90" t="s">
        <v>45</v>
      </c>
      <c r="B985" s="86">
        <v>0</v>
      </c>
      <c r="C985" s="86">
        <v>0</v>
      </c>
      <c r="D985" s="86">
        <v>0</v>
      </c>
      <c r="E985" s="86">
        <v>0</v>
      </c>
      <c r="F985" s="86">
        <v>0</v>
      </c>
      <c r="G985" s="86">
        <v>0</v>
      </c>
      <c r="H985" s="86">
        <f t="shared" si="45"/>
        <v>0</v>
      </c>
    </row>
    <row r="986" spans="1:8" x14ac:dyDescent="0.45">
      <c r="A986" s="90" t="s">
        <v>41</v>
      </c>
      <c r="B986" s="86">
        <v>0</v>
      </c>
      <c r="C986" s="86">
        <v>0</v>
      </c>
      <c r="D986" s="86">
        <v>0</v>
      </c>
      <c r="E986" s="86">
        <v>2</v>
      </c>
      <c r="F986" s="86">
        <v>2</v>
      </c>
      <c r="G986" s="86">
        <v>0</v>
      </c>
      <c r="H986" s="86">
        <f t="shared" si="45"/>
        <v>4</v>
      </c>
    </row>
    <row r="987" spans="1:8" x14ac:dyDescent="0.45">
      <c r="A987" s="90" t="s">
        <v>2</v>
      </c>
      <c r="B987" s="86">
        <v>32</v>
      </c>
      <c r="C987" s="86">
        <v>133</v>
      </c>
      <c r="D987" s="86">
        <v>19</v>
      </c>
      <c r="E987" s="86">
        <v>13</v>
      </c>
      <c r="F987" s="86">
        <v>2</v>
      </c>
      <c r="G987" s="86">
        <v>2</v>
      </c>
      <c r="H987" s="86">
        <f t="shared" si="45"/>
        <v>201</v>
      </c>
    </row>
    <row r="988" spans="1:8" x14ac:dyDescent="0.45">
      <c r="A988" s="90" t="s">
        <v>43</v>
      </c>
      <c r="B988" s="86">
        <v>0</v>
      </c>
      <c r="C988" s="86">
        <v>0</v>
      </c>
      <c r="D988" s="86">
        <v>0</v>
      </c>
      <c r="E988" s="86">
        <v>0</v>
      </c>
      <c r="F988" s="86">
        <v>0</v>
      </c>
      <c r="G988" s="86">
        <v>0</v>
      </c>
      <c r="H988" s="86">
        <f t="shared" si="45"/>
        <v>0</v>
      </c>
    </row>
    <row r="989" spans="1:8" x14ac:dyDescent="0.45">
      <c r="A989" s="90" t="s">
        <v>3</v>
      </c>
      <c r="B989" s="86">
        <v>0</v>
      </c>
      <c r="C989" s="86">
        <v>1</v>
      </c>
      <c r="D989" s="86">
        <v>7</v>
      </c>
      <c r="E989" s="86">
        <v>2</v>
      </c>
      <c r="F989" s="86">
        <v>2</v>
      </c>
      <c r="G989" s="86">
        <v>1</v>
      </c>
      <c r="H989" s="86">
        <f t="shared" si="45"/>
        <v>13</v>
      </c>
    </row>
    <row r="990" spans="1:8" x14ac:dyDescent="0.45">
      <c r="A990" s="90" t="s">
        <v>4</v>
      </c>
      <c r="B990" s="86">
        <v>0</v>
      </c>
      <c r="C990" s="86">
        <v>3</v>
      </c>
      <c r="D990" s="86">
        <v>0</v>
      </c>
      <c r="E990" s="86">
        <v>0</v>
      </c>
      <c r="F990" s="86">
        <v>0</v>
      </c>
      <c r="G990" s="86">
        <v>0</v>
      </c>
      <c r="H990" s="86">
        <f t="shared" si="45"/>
        <v>3</v>
      </c>
    </row>
    <row r="991" spans="1:8" x14ac:dyDescent="0.45">
      <c r="A991" s="90" t="s">
        <v>48</v>
      </c>
      <c r="B991" s="86">
        <v>0</v>
      </c>
      <c r="C991" s="86">
        <v>0</v>
      </c>
      <c r="D991" s="86">
        <v>2</v>
      </c>
      <c r="E991" s="86">
        <v>0</v>
      </c>
      <c r="F991" s="86">
        <v>0</v>
      </c>
      <c r="G991" s="86">
        <v>0</v>
      </c>
      <c r="H991" s="86">
        <f t="shared" si="45"/>
        <v>2</v>
      </c>
    </row>
    <row r="992" spans="1:8" x14ac:dyDescent="0.45">
      <c r="A992" s="90" t="s">
        <v>6</v>
      </c>
      <c r="B992" s="86">
        <v>0</v>
      </c>
      <c r="C992" s="86">
        <v>0</v>
      </c>
      <c r="D992" s="86">
        <v>0</v>
      </c>
      <c r="E992" s="86">
        <v>0</v>
      </c>
      <c r="F992" s="86">
        <v>0</v>
      </c>
      <c r="G992" s="86">
        <v>0</v>
      </c>
      <c r="H992" s="86">
        <f t="shared" si="45"/>
        <v>0</v>
      </c>
    </row>
    <row r="993" spans="1:8" x14ac:dyDescent="0.45">
      <c r="A993" s="90" t="s">
        <v>7</v>
      </c>
      <c r="B993" s="86">
        <v>0</v>
      </c>
      <c r="C993" s="86">
        <v>3</v>
      </c>
      <c r="D993" s="86">
        <v>1</v>
      </c>
      <c r="E993" s="86">
        <v>0</v>
      </c>
      <c r="F993" s="86">
        <v>3</v>
      </c>
      <c r="G993" s="86">
        <v>0</v>
      </c>
      <c r="H993" s="86">
        <f t="shared" si="45"/>
        <v>7</v>
      </c>
    </row>
    <row r="994" spans="1:8" x14ac:dyDescent="0.45">
      <c r="A994" s="90" t="s">
        <v>83</v>
      </c>
      <c r="B994" s="86">
        <v>0</v>
      </c>
      <c r="C994" s="86">
        <v>0</v>
      </c>
      <c r="D994" s="86">
        <v>0</v>
      </c>
      <c r="E994" s="86">
        <v>0</v>
      </c>
      <c r="F994" s="86">
        <v>0</v>
      </c>
      <c r="G994" s="86">
        <v>0</v>
      </c>
      <c r="H994" s="86">
        <f t="shared" si="45"/>
        <v>0</v>
      </c>
    </row>
    <row r="995" spans="1:8" x14ac:dyDescent="0.45">
      <c r="A995" s="90" t="s">
        <v>50</v>
      </c>
      <c r="B995" s="86">
        <v>0</v>
      </c>
      <c r="C995" s="86">
        <v>0</v>
      </c>
      <c r="D995" s="86">
        <v>0</v>
      </c>
      <c r="E995" s="86">
        <v>0</v>
      </c>
      <c r="F995" s="86">
        <v>0</v>
      </c>
      <c r="G995" s="86">
        <v>0</v>
      </c>
      <c r="H995" s="86">
        <f t="shared" si="45"/>
        <v>0</v>
      </c>
    </row>
    <row r="996" spans="1:8" x14ac:dyDescent="0.45">
      <c r="A996" s="90" t="s">
        <v>51</v>
      </c>
      <c r="B996" s="86">
        <v>0</v>
      </c>
      <c r="C996" s="86">
        <v>0</v>
      </c>
      <c r="D996" s="86">
        <v>0</v>
      </c>
      <c r="E996" s="86">
        <v>0</v>
      </c>
      <c r="F996" s="86">
        <v>0</v>
      </c>
      <c r="G996" s="86">
        <v>0</v>
      </c>
      <c r="H996" s="86">
        <f t="shared" si="45"/>
        <v>0</v>
      </c>
    </row>
    <row r="997" spans="1:8" x14ac:dyDescent="0.45">
      <c r="A997" s="90" t="s">
        <v>42</v>
      </c>
      <c r="B997" s="86">
        <v>0</v>
      </c>
      <c r="C997" s="86">
        <v>0</v>
      </c>
      <c r="D997" s="86">
        <v>4</v>
      </c>
      <c r="E997" s="86">
        <v>0</v>
      </c>
      <c r="F997" s="86">
        <v>0</v>
      </c>
      <c r="G997" s="86">
        <v>0</v>
      </c>
      <c r="H997" s="86">
        <f t="shared" si="45"/>
        <v>4</v>
      </c>
    </row>
    <row r="998" spans="1:8" x14ac:dyDescent="0.45">
      <c r="A998" s="90" t="s">
        <v>8</v>
      </c>
      <c r="B998" s="86">
        <v>0</v>
      </c>
      <c r="C998" s="86">
        <v>0</v>
      </c>
      <c r="D998" s="86">
        <v>1</v>
      </c>
      <c r="E998" s="86">
        <v>17</v>
      </c>
      <c r="F998" s="86">
        <v>12</v>
      </c>
      <c r="G998" s="86">
        <v>8</v>
      </c>
      <c r="H998" s="86">
        <f t="shared" si="45"/>
        <v>38</v>
      </c>
    </row>
    <row r="999" spans="1:8" x14ac:dyDescent="0.45">
      <c r="A999" s="90" t="s">
        <v>9</v>
      </c>
      <c r="B999" s="86">
        <v>0</v>
      </c>
      <c r="C999" s="86">
        <v>61</v>
      </c>
      <c r="D999" s="86">
        <v>1200</v>
      </c>
      <c r="E999" s="86">
        <v>463</v>
      </c>
      <c r="F999" s="86">
        <v>40</v>
      </c>
      <c r="G999" s="86">
        <v>50</v>
      </c>
      <c r="H999" s="86">
        <f t="shared" si="45"/>
        <v>1814</v>
      </c>
    </row>
    <row r="1000" spans="1:8" x14ac:dyDescent="0.45">
      <c r="A1000" s="90" t="s">
        <v>44</v>
      </c>
      <c r="B1000" s="86">
        <v>0</v>
      </c>
      <c r="C1000" s="86">
        <v>0</v>
      </c>
      <c r="D1000" s="86">
        <v>4</v>
      </c>
      <c r="E1000" s="86">
        <v>0</v>
      </c>
      <c r="F1000" s="86">
        <v>0</v>
      </c>
      <c r="G1000" s="86">
        <v>0</v>
      </c>
      <c r="H1000" s="86">
        <f t="shared" si="45"/>
        <v>4</v>
      </c>
    </row>
    <row r="1001" spans="1:8" x14ac:dyDescent="0.45">
      <c r="A1001" s="90" t="s">
        <v>10</v>
      </c>
      <c r="B1001" s="86">
        <v>0</v>
      </c>
      <c r="C1001" s="86">
        <v>0</v>
      </c>
      <c r="D1001" s="86">
        <v>25</v>
      </c>
      <c r="E1001" s="86">
        <v>3</v>
      </c>
      <c r="F1001" s="86">
        <v>0</v>
      </c>
      <c r="G1001" s="86">
        <v>0</v>
      </c>
      <c r="H1001" s="86">
        <f t="shared" si="45"/>
        <v>28</v>
      </c>
    </row>
    <row r="1002" spans="1:8" x14ac:dyDescent="0.45">
      <c r="A1002" s="90" t="s">
        <v>11</v>
      </c>
      <c r="B1002" s="86">
        <v>1</v>
      </c>
      <c r="C1002" s="86">
        <v>100</v>
      </c>
      <c r="D1002" s="86">
        <v>281</v>
      </c>
      <c r="E1002" s="86">
        <v>1173</v>
      </c>
      <c r="F1002" s="86">
        <v>594</v>
      </c>
      <c r="G1002" s="86">
        <v>20</v>
      </c>
      <c r="H1002" s="86">
        <f t="shared" si="45"/>
        <v>2169</v>
      </c>
    </row>
    <row r="1003" spans="1:8" x14ac:dyDescent="0.45">
      <c r="A1003" s="90" t="s">
        <v>12</v>
      </c>
      <c r="B1003" s="86">
        <v>0</v>
      </c>
      <c r="C1003" s="86">
        <v>9</v>
      </c>
      <c r="D1003" s="86">
        <v>3</v>
      </c>
      <c r="E1003" s="86">
        <v>9</v>
      </c>
      <c r="F1003" s="86">
        <v>82</v>
      </c>
      <c r="G1003" s="86">
        <v>0</v>
      </c>
      <c r="H1003" s="86">
        <f t="shared" si="45"/>
        <v>103</v>
      </c>
    </row>
    <row r="1004" spans="1:8" x14ac:dyDescent="0.45">
      <c r="A1004" s="90" t="s">
        <v>32</v>
      </c>
      <c r="B1004" s="86">
        <v>0</v>
      </c>
      <c r="C1004" s="86">
        <v>0</v>
      </c>
      <c r="D1004" s="86">
        <v>0</v>
      </c>
      <c r="E1004" s="86">
        <v>0</v>
      </c>
      <c r="F1004" s="86">
        <v>27</v>
      </c>
      <c r="G1004" s="86">
        <v>4</v>
      </c>
      <c r="H1004" s="86">
        <f t="shared" si="45"/>
        <v>31</v>
      </c>
    </row>
    <row r="1005" spans="1:8" x14ac:dyDescent="0.45">
      <c r="A1005" s="90" t="s">
        <v>18</v>
      </c>
      <c r="B1005" s="86">
        <v>0</v>
      </c>
      <c r="C1005" s="86">
        <v>10</v>
      </c>
      <c r="D1005" s="86">
        <v>85</v>
      </c>
      <c r="E1005" s="86">
        <v>30</v>
      </c>
      <c r="F1005" s="86">
        <v>154</v>
      </c>
      <c r="G1005" s="86">
        <v>6</v>
      </c>
      <c r="H1005" s="86">
        <f t="shared" si="45"/>
        <v>285</v>
      </c>
    </row>
    <row r="1006" spans="1:8" x14ac:dyDescent="0.45">
      <c r="A1006" s="90" t="s">
        <v>46</v>
      </c>
      <c r="B1006" s="86">
        <v>0</v>
      </c>
      <c r="C1006" s="86">
        <v>0</v>
      </c>
      <c r="D1006" s="86">
        <v>0</v>
      </c>
      <c r="E1006" s="86">
        <v>0</v>
      </c>
      <c r="F1006" s="86">
        <v>0</v>
      </c>
      <c r="G1006" s="86">
        <v>0</v>
      </c>
      <c r="H1006" s="86">
        <f t="shared" si="45"/>
        <v>0</v>
      </c>
    </row>
    <row r="1007" spans="1:8" x14ac:dyDescent="0.45">
      <c r="A1007" s="90" t="s">
        <v>13</v>
      </c>
      <c r="B1007" s="86">
        <v>0</v>
      </c>
      <c r="C1007" s="86">
        <v>0</v>
      </c>
      <c r="D1007" s="86">
        <v>0</v>
      </c>
      <c r="E1007" s="86">
        <v>4</v>
      </c>
      <c r="F1007" s="86">
        <v>0</v>
      </c>
      <c r="G1007" s="86">
        <v>0</v>
      </c>
      <c r="H1007" s="86">
        <f t="shared" si="45"/>
        <v>4</v>
      </c>
    </row>
    <row r="1008" spans="1:8" x14ac:dyDescent="0.45">
      <c r="A1008" s="90" t="s">
        <v>14</v>
      </c>
      <c r="B1008" s="86">
        <v>15</v>
      </c>
      <c r="C1008" s="86">
        <v>75</v>
      </c>
      <c r="D1008" s="86">
        <v>122</v>
      </c>
      <c r="E1008" s="86">
        <v>376</v>
      </c>
      <c r="F1008" s="86">
        <v>192</v>
      </c>
      <c r="G1008" s="86">
        <v>5</v>
      </c>
      <c r="H1008" s="86">
        <f t="shared" si="45"/>
        <v>785</v>
      </c>
    </row>
    <row r="1009" spans="1:8" x14ac:dyDescent="0.45">
      <c r="A1009" s="90" t="s">
        <v>40</v>
      </c>
      <c r="B1009" s="86">
        <v>0</v>
      </c>
      <c r="C1009" s="86">
        <v>0</v>
      </c>
      <c r="D1009" s="86">
        <v>0</v>
      </c>
      <c r="E1009" s="86">
        <v>0</v>
      </c>
      <c r="F1009" s="86">
        <v>0</v>
      </c>
      <c r="G1009" s="86">
        <v>0</v>
      </c>
      <c r="H1009" s="86">
        <f t="shared" si="45"/>
        <v>0</v>
      </c>
    </row>
    <row r="1010" spans="1:8" x14ac:dyDescent="0.45">
      <c r="A1010" s="90" t="s">
        <v>52</v>
      </c>
      <c r="B1010" s="86">
        <v>0</v>
      </c>
      <c r="C1010" s="86">
        <v>0</v>
      </c>
      <c r="D1010" s="86">
        <v>0</v>
      </c>
      <c r="E1010" s="86">
        <v>0</v>
      </c>
      <c r="F1010" s="86">
        <v>0</v>
      </c>
      <c r="G1010" s="86">
        <v>0</v>
      </c>
      <c r="H1010" s="86">
        <f t="shared" si="45"/>
        <v>0</v>
      </c>
    </row>
    <row r="1011" spans="1:8" x14ac:dyDescent="0.45">
      <c r="A1011" s="90" t="s">
        <v>53</v>
      </c>
      <c r="B1011" s="86">
        <v>0</v>
      </c>
      <c r="C1011" s="86">
        <v>0</v>
      </c>
      <c r="D1011" s="86">
        <v>0</v>
      </c>
      <c r="E1011" s="86">
        <v>0</v>
      </c>
      <c r="F1011" s="86">
        <v>0</v>
      </c>
      <c r="G1011" s="86">
        <v>1</v>
      </c>
      <c r="H1011" s="86">
        <f t="shared" si="45"/>
        <v>1</v>
      </c>
    </row>
    <row r="1012" spans="1:8" x14ac:dyDescent="0.45">
      <c r="A1012" s="90" t="s">
        <v>15</v>
      </c>
      <c r="B1012" s="86">
        <v>0</v>
      </c>
      <c r="C1012" s="86">
        <v>0</v>
      </c>
      <c r="D1012" s="86">
        <v>0</v>
      </c>
      <c r="E1012" s="86">
        <v>0</v>
      </c>
      <c r="F1012" s="86">
        <v>0</v>
      </c>
      <c r="G1012" s="86">
        <v>0</v>
      </c>
      <c r="H1012" s="86">
        <f t="shared" si="45"/>
        <v>0</v>
      </c>
    </row>
    <row r="1013" spans="1:8" x14ac:dyDescent="0.45">
      <c r="A1013" s="90" t="s">
        <v>54</v>
      </c>
      <c r="B1013" s="86">
        <v>0</v>
      </c>
      <c r="C1013" s="86">
        <v>0</v>
      </c>
      <c r="D1013" s="86">
        <v>0</v>
      </c>
      <c r="E1013" s="86">
        <v>0</v>
      </c>
      <c r="F1013" s="86">
        <v>0</v>
      </c>
      <c r="G1013" s="86">
        <v>0</v>
      </c>
      <c r="H1013" s="86">
        <f t="shared" si="45"/>
        <v>0</v>
      </c>
    </row>
    <row r="1014" spans="1:8" x14ac:dyDescent="0.45">
      <c r="A1014" s="90" t="s">
        <v>47</v>
      </c>
      <c r="B1014" s="86">
        <v>0</v>
      </c>
      <c r="C1014" s="86">
        <v>4</v>
      </c>
      <c r="D1014" s="86">
        <v>0</v>
      </c>
      <c r="E1014" s="86">
        <v>6</v>
      </c>
      <c r="F1014" s="86">
        <v>37</v>
      </c>
      <c r="G1014" s="86">
        <v>1</v>
      </c>
      <c r="H1014" s="86">
        <f t="shared" si="45"/>
        <v>48</v>
      </c>
    </row>
    <row r="1015" spans="1:8" x14ac:dyDescent="0.45">
      <c r="A1015" s="90" t="s">
        <v>16</v>
      </c>
      <c r="B1015" s="86">
        <v>0</v>
      </c>
      <c r="C1015" s="86">
        <v>0</v>
      </c>
      <c r="D1015" s="86">
        <v>0</v>
      </c>
      <c r="E1015" s="86">
        <v>0</v>
      </c>
      <c r="F1015" s="86">
        <v>0</v>
      </c>
      <c r="G1015" s="86">
        <v>0</v>
      </c>
      <c r="H1015" s="86">
        <f t="shared" si="45"/>
        <v>0</v>
      </c>
    </row>
    <row r="1016" spans="1:8" x14ac:dyDescent="0.45">
      <c r="A1016" s="90" t="s">
        <v>55</v>
      </c>
      <c r="B1016" s="86">
        <v>0</v>
      </c>
      <c r="C1016" s="86">
        <v>0</v>
      </c>
      <c r="D1016" s="86">
        <v>0</v>
      </c>
      <c r="E1016" s="86">
        <v>0</v>
      </c>
      <c r="F1016" s="86">
        <v>0</v>
      </c>
      <c r="G1016" s="86">
        <v>0</v>
      </c>
      <c r="H1016" s="86">
        <f t="shared" si="45"/>
        <v>0</v>
      </c>
    </row>
    <row r="1017" spans="1:8" x14ac:dyDescent="0.45">
      <c r="A1017" s="90" t="s">
        <v>17</v>
      </c>
      <c r="B1017" s="86">
        <v>0</v>
      </c>
      <c r="C1017" s="86">
        <v>0</v>
      </c>
      <c r="D1017" s="86">
        <v>0</v>
      </c>
      <c r="E1017" s="86">
        <v>0</v>
      </c>
      <c r="F1017" s="86">
        <v>0</v>
      </c>
      <c r="G1017" s="86">
        <v>1</v>
      </c>
      <c r="H1017" s="86">
        <f t="shared" si="45"/>
        <v>1</v>
      </c>
    </row>
    <row r="1018" spans="1:8" x14ac:dyDescent="0.45">
      <c r="A1018" s="90" t="s">
        <v>24</v>
      </c>
      <c r="B1018" s="86">
        <v>48</v>
      </c>
      <c r="C1018" s="86">
        <v>411</v>
      </c>
      <c r="D1018" s="86">
        <v>1777</v>
      </c>
      <c r="E1018" s="86">
        <v>2148</v>
      </c>
      <c r="F1018" s="86">
        <v>1243</v>
      </c>
      <c r="G1018" s="86">
        <v>149</v>
      </c>
      <c r="H1018" s="86">
        <f t="shared" si="45"/>
        <v>5776</v>
      </c>
    </row>
    <row r="1021" spans="1:8" x14ac:dyDescent="0.45">
      <c r="A1021" s="37" t="s">
        <v>212</v>
      </c>
      <c r="B1021" s="180"/>
      <c r="C1021" s="180"/>
    </row>
    <row r="1022" spans="1:8" x14ac:dyDescent="0.45">
      <c r="A1022" s="1" t="s">
        <v>113</v>
      </c>
      <c r="B1022" s="180"/>
      <c r="C1022" s="180"/>
    </row>
    <row r="1023" spans="1:8" x14ac:dyDescent="0.45">
      <c r="C1023" s="180"/>
    </row>
    <row r="1024" spans="1:8" x14ac:dyDescent="0.45">
      <c r="A1024" s="108" t="s">
        <v>19</v>
      </c>
      <c r="B1024" s="91">
        <v>26</v>
      </c>
      <c r="C1024" s="91">
        <v>1</v>
      </c>
      <c r="D1024" s="91">
        <v>6</v>
      </c>
      <c r="E1024" s="91">
        <v>11</v>
      </c>
      <c r="F1024" s="91">
        <v>16</v>
      </c>
      <c r="G1024" s="91">
        <v>21</v>
      </c>
      <c r="H1024" s="97" t="s">
        <v>24</v>
      </c>
    </row>
    <row r="1025" spans="1:8" x14ac:dyDescent="0.45">
      <c r="A1025" s="90" t="s">
        <v>1</v>
      </c>
      <c r="B1025" s="86">
        <v>4</v>
      </c>
      <c r="C1025" s="86">
        <v>18</v>
      </c>
      <c r="D1025" s="86">
        <v>48</v>
      </c>
      <c r="E1025" s="86">
        <v>47</v>
      </c>
      <c r="F1025" s="86">
        <v>59</v>
      </c>
      <c r="G1025" s="86">
        <v>38</v>
      </c>
      <c r="H1025" s="17">
        <f t="shared" ref="H1025:H1054" si="46">SUM(B1025:G1025)</f>
        <v>214</v>
      </c>
    </row>
    <row r="1026" spans="1:8" x14ac:dyDescent="0.45">
      <c r="A1026" s="90" t="s">
        <v>45</v>
      </c>
      <c r="B1026" s="86">
        <v>0</v>
      </c>
      <c r="C1026" s="86">
        <v>0</v>
      </c>
      <c r="D1026" s="86">
        <v>0</v>
      </c>
      <c r="E1026" s="86">
        <v>0</v>
      </c>
      <c r="F1026" s="86">
        <v>0</v>
      </c>
      <c r="G1026" s="86">
        <v>0</v>
      </c>
      <c r="H1026" s="17">
        <f t="shared" si="46"/>
        <v>0</v>
      </c>
    </row>
    <row r="1027" spans="1:8" x14ac:dyDescent="0.45">
      <c r="A1027" s="90" t="s">
        <v>41</v>
      </c>
      <c r="B1027" s="86">
        <v>12</v>
      </c>
      <c r="C1027" s="86">
        <v>1</v>
      </c>
      <c r="D1027" s="86">
        <v>7</v>
      </c>
      <c r="E1027" s="86">
        <v>2</v>
      </c>
      <c r="F1027" s="86">
        <v>0</v>
      </c>
      <c r="G1027" s="86">
        <v>1</v>
      </c>
      <c r="H1027" s="17">
        <f t="shared" si="46"/>
        <v>23</v>
      </c>
    </row>
    <row r="1028" spans="1:8" x14ac:dyDescent="0.45">
      <c r="A1028" s="90" t="s">
        <v>2</v>
      </c>
      <c r="B1028" s="86">
        <v>19</v>
      </c>
      <c r="C1028" s="86">
        <v>26</v>
      </c>
      <c r="D1028" s="86">
        <v>24</v>
      </c>
      <c r="E1028" s="86">
        <v>7</v>
      </c>
      <c r="F1028" s="86">
        <v>4</v>
      </c>
      <c r="G1028" s="86">
        <v>2</v>
      </c>
      <c r="H1028" s="17">
        <f t="shared" si="46"/>
        <v>82</v>
      </c>
    </row>
    <row r="1029" spans="1:8" x14ac:dyDescent="0.45">
      <c r="A1029" s="90" t="s">
        <v>43</v>
      </c>
      <c r="B1029" s="86">
        <v>0</v>
      </c>
      <c r="C1029" s="86">
        <v>4</v>
      </c>
      <c r="D1029" s="86">
        <v>3</v>
      </c>
      <c r="E1029" s="86">
        <v>3</v>
      </c>
      <c r="F1029" s="86">
        <v>3</v>
      </c>
      <c r="G1029" s="86">
        <v>0</v>
      </c>
      <c r="H1029" s="17">
        <f t="shared" si="46"/>
        <v>13</v>
      </c>
    </row>
    <row r="1030" spans="1:8" x14ac:dyDescent="0.45">
      <c r="A1030" s="90" t="s">
        <v>3</v>
      </c>
      <c r="B1030" s="86">
        <v>6</v>
      </c>
      <c r="C1030" s="86">
        <v>13</v>
      </c>
      <c r="D1030" s="86">
        <v>5</v>
      </c>
      <c r="E1030" s="86">
        <v>11</v>
      </c>
      <c r="F1030" s="86">
        <v>0</v>
      </c>
      <c r="G1030" s="86">
        <v>2</v>
      </c>
      <c r="H1030" s="17">
        <f t="shared" si="46"/>
        <v>37</v>
      </c>
    </row>
    <row r="1031" spans="1:8" x14ac:dyDescent="0.45">
      <c r="A1031" s="90" t="s">
        <v>4</v>
      </c>
      <c r="B1031" s="86">
        <v>1</v>
      </c>
      <c r="C1031" s="86">
        <v>0</v>
      </c>
      <c r="D1031" s="86">
        <v>0</v>
      </c>
      <c r="E1031" s="86">
        <v>0</v>
      </c>
      <c r="F1031" s="86">
        <v>0</v>
      </c>
      <c r="G1031" s="86">
        <v>0</v>
      </c>
      <c r="H1031" s="17">
        <f t="shared" si="46"/>
        <v>1</v>
      </c>
    </row>
    <row r="1032" spans="1:8" x14ac:dyDescent="0.45">
      <c r="A1032" s="90" t="s">
        <v>5</v>
      </c>
      <c r="B1032" s="86">
        <v>0</v>
      </c>
      <c r="C1032" s="86">
        <v>0</v>
      </c>
      <c r="D1032" s="86">
        <v>0</v>
      </c>
      <c r="E1032" s="86">
        <v>0</v>
      </c>
      <c r="F1032" s="86">
        <v>0</v>
      </c>
      <c r="G1032" s="86">
        <v>0</v>
      </c>
      <c r="H1032" s="17">
        <f t="shared" si="46"/>
        <v>0</v>
      </c>
    </row>
    <row r="1033" spans="1:8" x14ac:dyDescent="0.45">
      <c r="A1033" s="90" t="s">
        <v>7</v>
      </c>
      <c r="B1033" s="86">
        <v>0</v>
      </c>
      <c r="C1033" s="86">
        <v>0</v>
      </c>
      <c r="D1033" s="86">
        <v>0</v>
      </c>
      <c r="E1033" s="86">
        <v>4</v>
      </c>
      <c r="F1033" s="86">
        <v>17</v>
      </c>
      <c r="G1033" s="86">
        <v>20</v>
      </c>
      <c r="H1033" s="17">
        <f t="shared" si="46"/>
        <v>41</v>
      </c>
    </row>
    <row r="1034" spans="1:8" x14ac:dyDescent="0.45">
      <c r="A1034" s="90" t="s">
        <v>50</v>
      </c>
      <c r="B1034" s="86">
        <v>0</v>
      </c>
      <c r="C1034" s="86">
        <v>0</v>
      </c>
      <c r="D1034" s="86">
        <v>1</v>
      </c>
      <c r="E1034" s="86">
        <v>0</v>
      </c>
      <c r="F1034" s="86">
        <v>0</v>
      </c>
      <c r="G1034" s="86">
        <v>0</v>
      </c>
      <c r="H1034" s="17">
        <f t="shared" si="46"/>
        <v>1</v>
      </c>
    </row>
    <row r="1035" spans="1:8" x14ac:dyDescent="0.45">
      <c r="A1035" s="90" t="s">
        <v>51</v>
      </c>
      <c r="B1035" s="86">
        <v>0</v>
      </c>
      <c r="C1035" s="86">
        <v>0</v>
      </c>
      <c r="D1035" s="86">
        <v>0</v>
      </c>
      <c r="E1035" s="86">
        <v>0</v>
      </c>
      <c r="F1035" s="86">
        <v>0</v>
      </c>
      <c r="G1035" s="86">
        <v>0</v>
      </c>
      <c r="H1035" s="17">
        <f t="shared" si="46"/>
        <v>0</v>
      </c>
    </row>
    <row r="1036" spans="1:8" x14ac:dyDescent="0.45">
      <c r="A1036" s="90" t="s">
        <v>42</v>
      </c>
      <c r="B1036" s="86">
        <v>0</v>
      </c>
      <c r="C1036" s="86">
        <v>0</v>
      </c>
      <c r="D1036" s="86">
        <v>1</v>
      </c>
      <c r="E1036" s="86">
        <v>1</v>
      </c>
      <c r="F1036" s="86">
        <v>0</v>
      </c>
      <c r="G1036" s="86">
        <v>0</v>
      </c>
      <c r="H1036" s="17">
        <f t="shared" si="46"/>
        <v>2</v>
      </c>
    </row>
    <row r="1037" spans="1:8" x14ac:dyDescent="0.45">
      <c r="A1037" s="90" t="s">
        <v>8</v>
      </c>
      <c r="B1037" s="86">
        <v>0</v>
      </c>
      <c r="C1037" s="86">
        <v>0</v>
      </c>
      <c r="D1037" s="86">
        <v>20</v>
      </c>
      <c r="E1037" s="86">
        <v>1</v>
      </c>
      <c r="F1037" s="86">
        <v>30</v>
      </c>
      <c r="G1037" s="86">
        <v>0</v>
      </c>
      <c r="H1037" s="17">
        <f t="shared" si="46"/>
        <v>51</v>
      </c>
    </row>
    <row r="1038" spans="1:8" x14ac:dyDescent="0.45">
      <c r="A1038" s="90" t="s">
        <v>9</v>
      </c>
      <c r="B1038" s="86">
        <v>232</v>
      </c>
      <c r="C1038" s="86">
        <v>110</v>
      </c>
      <c r="D1038" s="86">
        <v>588</v>
      </c>
      <c r="E1038" s="86">
        <v>265</v>
      </c>
      <c r="F1038" s="86">
        <v>73</v>
      </c>
      <c r="G1038" s="86">
        <v>55</v>
      </c>
      <c r="H1038" s="17">
        <f t="shared" si="46"/>
        <v>1323</v>
      </c>
    </row>
    <row r="1039" spans="1:8" x14ac:dyDescent="0.45">
      <c r="A1039" s="90" t="s">
        <v>44</v>
      </c>
      <c r="B1039" s="86">
        <v>0</v>
      </c>
      <c r="C1039" s="86">
        <v>4</v>
      </c>
      <c r="D1039" s="86">
        <v>5</v>
      </c>
      <c r="E1039" s="86">
        <v>0</v>
      </c>
      <c r="F1039" s="86">
        <v>0</v>
      </c>
      <c r="G1039" s="86">
        <v>0</v>
      </c>
      <c r="H1039" s="17">
        <f t="shared" si="46"/>
        <v>9</v>
      </c>
    </row>
    <row r="1040" spans="1:8" x14ac:dyDescent="0.45">
      <c r="A1040" s="90" t="s">
        <v>10</v>
      </c>
      <c r="B1040" s="86">
        <v>15</v>
      </c>
      <c r="C1040" s="86">
        <v>17</v>
      </c>
      <c r="D1040" s="86">
        <v>15</v>
      </c>
      <c r="E1040" s="86">
        <v>5</v>
      </c>
      <c r="F1040" s="86">
        <v>3</v>
      </c>
      <c r="G1040" s="86">
        <v>0</v>
      </c>
      <c r="H1040" s="17">
        <f t="shared" si="46"/>
        <v>55</v>
      </c>
    </row>
    <row r="1041" spans="1:8" x14ac:dyDescent="0.45">
      <c r="A1041" s="90" t="s">
        <v>11</v>
      </c>
      <c r="B1041" s="86">
        <v>72</v>
      </c>
      <c r="C1041" s="86">
        <v>439</v>
      </c>
      <c r="D1041" s="86">
        <v>420</v>
      </c>
      <c r="E1041" s="86">
        <v>203</v>
      </c>
      <c r="F1041" s="86">
        <v>131</v>
      </c>
      <c r="G1041" s="86">
        <v>125</v>
      </c>
      <c r="H1041" s="17">
        <f t="shared" si="46"/>
        <v>1390</v>
      </c>
    </row>
    <row r="1042" spans="1:8" x14ac:dyDescent="0.45">
      <c r="A1042" s="90" t="s">
        <v>12</v>
      </c>
      <c r="B1042" s="86">
        <v>16</v>
      </c>
      <c r="C1042" s="86">
        <v>164</v>
      </c>
      <c r="D1042" s="86">
        <v>20</v>
      </c>
      <c r="E1042" s="86">
        <v>35</v>
      </c>
      <c r="F1042" s="86">
        <v>8</v>
      </c>
      <c r="G1042" s="86">
        <v>2</v>
      </c>
      <c r="H1042" s="17">
        <f t="shared" si="46"/>
        <v>245</v>
      </c>
    </row>
    <row r="1043" spans="1:8" x14ac:dyDescent="0.45">
      <c r="A1043" s="90" t="s">
        <v>32</v>
      </c>
      <c r="B1043" s="86">
        <v>0</v>
      </c>
      <c r="C1043" s="86">
        <v>0</v>
      </c>
      <c r="D1043" s="86">
        <v>0</v>
      </c>
      <c r="E1043" s="86">
        <v>0</v>
      </c>
      <c r="F1043" s="86">
        <v>0</v>
      </c>
      <c r="G1043" s="86">
        <v>1</v>
      </c>
      <c r="H1043" s="17">
        <f t="shared" si="46"/>
        <v>1</v>
      </c>
    </row>
    <row r="1044" spans="1:8" x14ac:dyDescent="0.45">
      <c r="A1044" s="90" t="s">
        <v>18</v>
      </c>
      <c r="B1044" s="86">
        <v>0</v>
      </c>
      <c r="C1044" s="86">
        <v>30</v>
      </c>
      <c r="D1044" s="86">
        <v>6170</v>
      </c>
      <c r="E1044" s="86">
        <v>54</v>
      </c>
      <c r="F1044" s="86">
        <v>1</v>
      </c>
      <c r="G1044" s="86">
        <v>4</v>
      </c>
      <c r="H1044" s="17">
        <f t="shared" si="46"/>
        <v>6259</v>
      </c>
    </row>
    <row r="1045" spans="1:8" x14ac:dyDescent="0.45">
      <c r="A1045" s="90" t="s">
        <v>46</v>
      </c>
      <c r="B1045" s="86">
        <v>0</v>
      </c>
      <c r="C1045" s="86">
        <v>0</v>
      </c>
      <c r="D1045" s="86">
        <v>0</v>
      </c>
      <c r="E1045" s="86">
        <v>0</v>
      </c>
      <c r="F1045" s="86">
        <v>0</v>
      </c>
      <c r="G1045" s="86">
        <v>0</v>
      </c>
      <c r="H1045" s="17">
        <f t="shared" si="46"/>
        <v>0</v>
      </c>
    </row>
    <row r="1046" spans="1:8" x14ac:dyDescent="0.45">
      <c r="A1046" s="90" t="s">
        <v>13</v>
      </c>
      <c r="B1046" s="86">
        <v>0</v>
      </c>
      <c r="C1046" s="86">
        <v>0</v>
      </c>
      <c r="D1046" s="86">
        <v>0</v>
      </c>
      <c r="E1046" s="86">
        <v>0</v>
      </c>
      <c r="F1046" s="86">
        <v>0</v>
      </c>
      <c r="G1046" s="86">
        <v>0</v>
      </c>
      <c r="H1046" s="17">
        <f t="shared" si="46"/>
        <v>0</v>
      </c>
    </row>
    <row r="1047" spans="1:8" x14ac:dyDescent="0.45">
      <c r="A1047" s="90" t="s">
        <v>14</v>
      </c>
      <c r="B1047" s="86">
        <v>107</v>
      </c>
      <c r="C1047" s="86">
        <v>30</v>
      </c>
      <c r="D1047" s="86">
        <v>306</v>
      </c>
      <c r="E1047" s="86">
        <v>7</v>
      </c>
      <c r="F1047" s="86">
        <v>4</v>
      </c>
      <c r="G1047" s="86">
        <v>54</v>
      </c>
      <c r="H1047" s="17">
        <f t="shared" si="46"/>
        <v>508</v>
      </c>
    </row>
    <row r="1048" spans="1:8" x14ac:dyDescent="0.45">
      <c r="A1048" s="90" t="s">
        <v>40</v>
      </c>
      <c r="B1048" s="86">
        <v>0</v>
      </c>
      <c r="C1048" s="86">
        <v>0</v>
      </c>
      <c r="D1048" s="86">
        <v>1</v>
      </c>
      <c r="E1048" s="86">
        <v>0</v>
      </c>
      <c r="F1048" s="86">
        <v>0</v>
      </c>
      <c r="G1048" s="86">
        <v>0</v>
      </c>
      <c r="H1048" s="17">
        <f t="shared" si="46"/>
        <v>1</v>
      </c>
    </row>
    <row r="1049" spans="1:8" x14ac:dyDescent="0.45">
      <c r="A1049" s="90" t="s">
        <v>52</v>
      </c>
      <c r="B1049" s="86">
        <v>0</v>
      </c>
      <c r="C1049" s="86">
        <v>1</v>
      </c>
      <c r="D1049" s="86">
        <v>0</v>
      </c>
      <c r="E1049" s="86">
        <v>0</v>
      </c>
      <c r="F1049" s="86">
        <v>0</v>
      </c>
      <c r="G1049" s="86">
        <v>0</v>
      </c>
      <c r="H1049" s="17">
        <f t="shared" si="46"/>
        <v>1</v>
      </c>
    </row>
    <row r="1050" spans="1:8" x14ac:dyDescent="0.45">
      <c r="A1050" s="90" t="s">
        <v>53</v>
      </c>
      <c r="B1050" s="86">
        <v>0</v>
      </c>
      <c r="C1050" s="86">
        <v>0</v>
      </c>
      <c r="D1050" s="86">
        <v>0</v>
      </c>
      <c r="E1050" s="86">
        <v>0</v>
      </c>
      <c r="F1050" s="86">
        <v>0</v>
      </c>
      <c r="G1050" s="86">
        <v>0</v>
      </c>
      <c r="H1050" s="17">
        <f t="shared" si="46"/>
        <v>0</v>
      </c>
    </row>
    <row r="1051" spans="1:8" x14ac:dyDescent="0.45">
      <c r="A1051" s="90" t="s">
        <v>15</v>
      </c>
      <c r="B1051" s="86">
        <v>2</v>
      </c>
      <c r="C1051" s="86">
        <v>2</v>
      </c>
      <c r="D1051" s="86">
        <v>11</v>
      </c>
      <c r="E1051" s="86">
        <v>0</v>
      </c>
      <c r="F1051" s="86">
        <v>4</v>
      </c>
      <c r="G1051" s="86">
        <v>1</v>
      </c>
      <c r="H1051" s="17">
        <f t="shared" si="46"/>
        <v>20</v>
      </c>
    </row>
    <row r="1052" spans="1:8" x14ac:dyDescent="0.45">
      <c r="A1052" s="90" t="s">
        <v>54</v>
      </c>
      <c r="B1052" s="86">
        <v>0</v>
      </c>
      <c r="C1052" s="86">
        <v>0</v>
      </c>
      <c r="D1052" s="86">
        <v>0</v>
      </c>
      <c r="E1052" s="86">
        <v>0</v>
      </c>
      <c r="F1052" s="86">
        <v>1</v>
      </c>
      <c r="G1052" s="86">
        <v>0</v>
      </c>
      <c r="H1052" s="17">
        <f t="shared" si="46"/>
        <v>1</v>
      </c>
    </row>
    <row r="1053" spans="1:8" x14ac:dyDescent="0.45">
      <c r="A1053" s="90" t="s">
        <v>74</v>
      </c>
      <c r="B1053" s="86">
        <v>1</v>
      </c>
      <c r="C1053" s="86">
        <v>3</v>
      </c>
      <c r="D1053" s="86">
        <v>11</v>
      </c>
      <c r="E1053" s="86">
        <v>0</v>
      </c>
      <c r="F1053" s="86">
        <v>2</v>
      </c>
      <c r="G1053" s="86">
        <v>0</v>
      </c>
      <c r="H1053" s="17">
        <f t="shared" si="46"/>
        <v>17</v>
      </c>
    </row>
    <row r="1054" spans="1:8" x14ac:dyDescent="0.45">
      <c r="A1054" s="90" t="s">
        <v>16</v>
      </c>
      <c r="B1054" s="86">
        <v>0</v>
      </c>
      <c r="C1054" s="86">
        <v>0</v>
      </c>
      <c r="D1054" s="86">
        <v>0</v>
      </c>
      <c r="E1054" s="86">
        <v>0</v>
      </c>
      <c r="F1054" s="86">
        <v>0</v>
      </c>
      <c r="G1054" s="86">
        <v>0</v>
      </c>
      <c r="H1054" s="17">
        <f t="shared" si="46"/>
        <v>0</v>
      </c>
    </row>
    <row r="1055" spans="1:8" x14ac:dyDescent="0.45">
      <c r="A1055" s="90" t="s">
        <v>17</v>
      </c>
      <c r="B1055" s="86">
        <v>0</v>
      </c>
      <c r="C1055" s="86">
        <v>0</v>
      </c>
      <c r="D1055" s="86">
        <v>0</v>
      </c>
      <c r="E1055" s="86">
        <v>0</v>
      </c>
      <c r="F1055" s="86">
        <v>0</v>
      </c>
      <c r="G1055" s="86">
        <v>0</v>
      </c>
      <c r="H1055" s="17">
        <v>39</v>
      </c>
    </row>
    <row r="1056" spans="1:8" x14ac:dyDescent="0.45">
      <c r="A1056" s="90" t="s">
        <v>55</v>
      </c>
      <c r="B1056" s="86">
        <v>0</v>
      </c>
      <c r="C1056" s="86">
        <v>0</v>
      </c>
      <c r="D1056" s="86">
        <v>0</v>
      </c>
      <c r="E1056" s="86">
        <v>37</v>
      </c>
      <c r="F1056" s="86">
        <v>1</v>
      </c>
      <c r="G1056" s="86">
        <v>1</v>
      </c>
      <c r="H1056" s="17">
        <v>0</v>
      </c>
    </row>
    <row r="1057" spans="1:8" x14ac:dyDescent="0.45">
      <c r="A1057" s="90" t="s">
        <v>151</v>
      </c>
      <c r="B1057" s="86">
        <v>0</v>
      </c>
      <c r="C1057" s="86">
        <v>0</v>
      </c>
      <c r="D1057" s="86">
        <v>0</v>
      </c>
      <c r="E1057" s="86">
        <v>0</v>
      </c>
      <c r="F1057" s="86">
        <v>0</v>
      </c>
      <c r="G1057" s="86">
        <v>0</v>
      </c>
      <c r="H1057" s="17">
        <f>SUM(B1057:G1057)</f>
        <v>0</v>
      </c>
    </row>
    <row r="1058" spans="1:8" x14ac:dyDescent="0.45">
      <c r="A1058" s="95" t="s">
        <v>24</v>
      </c>
      <c r="B1058" s="86">
        <v>487</v>
      </c>
      <c r="C1058" s="86">
        <v>862</v>
      </c>
      <c r="D1058" s="86">
        <v>7656</v>
      </c>
      <c r="E1058" s="86">
        <v>682</v>
      </c>
      <c r="F1058" s="86">
        <v>341</v>
      </c>
      <c r="G1058" s="86">
        <v>306</v>
      </c>
      <c r="H1058" s="17">
        <f>SUM(B1058:G1058)</f>
        <v>10334</v>
      </c>
    </row>
    <row r="1059" spans="1:8" s="180" customFormat="1" x14ac:dyDescent="0.45">
      <c r="A1059" s="137"/>
      <c r="B1059" s="86"/>
      <c r="C1059" s="86"/>
      <c r="D1059" s="86"/>
      <c r="E1059" s="86"/>
      <c r="F1059" s="86"/>
      <c r="G1059" s="86"/>
      <c r="H1059" s="17"/>
    </row>
    <row r="1060" spans="1:8" s="180" customFormat="1" x14ac:dyDescent="0.45">
      <c r="A1060" s="137"/>
      <c r="B1060" s="86"/>
      <c r="C1060" s="86"/>
      <c r="D1060" s="86"/>
      <c r="E1060" s="86"/>
      <c r="F1060" s="86"/>
      <c r="G1060" s="86"/>
      <c r="H1060" s="17"/>
    </row>
    <row r="1061" spans="1:8" x14ac:dyDescent="0.45">
      <c r="A1061" s="37" t="s">
        <v>212</v>
      </c>
      <c r="B1061" s="2"/>
      <c r="C1061" s="2"/>
      <c r="D1061" s="2"/>
      <c r="E1061" s="2"/>
      <c r="F1061" s="2"/>
      <c r="G1061" s="2"/>
      <c r="H1061" s="2"/>
    </row>
    <row r="1062" spans="1:8" x14ac:dyDescent="0.45">
      <c r="A1062" s="1" t="s">
        <v>180</v>
      </c>
      <c r="B1062" s="2"/>
      <c r="C1062" s="2"/>
      <c r="D1062" s="2"/>
      <c r="E1062" s="2"/>
      <c r="F1062" s="2"/>
      <c r="G1062" s="2"/>
      <c r="H1062" s="2"/>
    </row>
    <row r="1063" spans="1:8" x14ac:dyDescent="0.45">
      <c r="A1063" s="2"/>
      <c r="B1063" s="2" t="s">
        <v>20</v>
      </c>
      <c r="C1063" s="2" t="s">
        <v>21</v>
      </c>
      <c r="D1063" s="2"/>
      <c r="E1063" s="2"/>
      <c r="F1063" s="2"/>
      <c r="G1063" s="2"/>
      <c r="H1063" s="2"/>
    </row>
    <row r="1064" spans="1:8" x14ac:dyDescent="0.45">
      <c r="A1064" s="108" t="s">
        <v>19</v>
      </c>
      <c r="B1064" s="91">
        <v>26</v>
      </c>
      <c r="C1064" s="91">
        <v>1</v>
      </c>
      <c r="D1064" s="91">
        <v>6</v>
      </c>
      <c r="E1064" s="91">
        <v>11</v>
      </c>
      <c r="F1064" s="91">
        <v>16</v>
      </c>
      <c r="G1064" s="91">
        <v>21</v>
      </c>
      <c r="H1064" s="97" t="s">
        <v>24</v>
      </c>
    </row>
    <row r="1065" spans="1:8" x14ac:dyDescent="0.45">
      <c r="A1065" s="3" t="s">
        <v>1</v>
      </c>
      <c r="B1065" s="86">
        <v>4</v>
      </c>
      <c r="C1065" s="86">
        <v>18</v>
      </c>
      <c r="D1065" s="86">
        <v>48</v>
      </c>
      <c r="E1065" s="86">
        <v>43</v>
      </c>
      <c r="F1065" s="86">
        <v>47</v>
      </c>
      <c r="G1065" s="86">
        <v>38</v>
      </c>
      <c r="H1065" s="17">
        <f t="shared" ref="H1065:H1097" si="47">SUM(B1065:G1065)</f>
        <v>198</v>
      </c>
    </row>
    <row r="1066" spans="1:8" x14ac:dyDescent="0.45">
      <c r="A1066" s="3" t="s">
        <v>45</v>
      </c>
      <c r="B1066" s="86">
        <v>0</v>
      </c>
      <c r="C1066" s="86">
        <v>0</v>
      </c>
      <c r="D1066" s="86">
        <v>0</v>
      </c>
      <c r="E1066" s="86">
        <v>0</v>
      </c>
      <c r="F1066" s="86">
        <v>0</v>
      </c>
      <c r="G1066" s="86">
        <v>0</v>
      </c>
      <c r="H1066" s="17">
        <f t="shared" si="47"/>
        <v>0</v>
      </c>
    </row>
    <row r="1067" spans="1:8" x14ac:dyDescent="0.45">
      <c r="A1067" s="3" t="s">
        <v>41</v>
      </c>
      <c r="B1067" s="86">
        <v>12</v>
      </c>
      <c r="C1067" s="86">
        <v>1</v>
      </c>
      <c r="D1067" s="86">
        <v>7</v>
      </c>
      <c r="E1067" s="86">
        <v>2</v>
      </c>
      <c r="F1067" s="86">
        <v>0</v>
      </c>
      <c r="G1067" s="86">
        <v>1</v>
      </c>
      <c r="H1067" s="17">
        <f t="shared" si="47"/>
        <v>23</v>
      </c>
    </row>
    <row r="1068" spans="1:8" x14ac:dyDescent="0.45">
      <c r="A1068" s="3" t="s">
        <v>2</v>
      </c>
      <c r="B1068" s="86">
        <v>19</v>
      </c>
      <c r="C1068" s="86">
        <v>26</v>
      </c>
      <c r="D1068" s="86">
        <v>7</v>
      </c>
      <c r="E1068" s="86">
        <v>7</v>
      </c>
      <c r="F1068" s="86">
        <v>4</v>
      </c>
      <c r="G1068" s="86">
        <v>2</v>
      </c>
      <c r="H1068" s="17">
        <f t="shared" si="47"/>
        <v>65</v>
      </c>
    </row>
    <row r="1069" spans="1:8" x14ac:dyDescent="0.45">
      <c r="A1069" s="3" t="s">
        <v>43</v>
      </c>
      <c r="B1069" s="86">
        <v>0</v>
      </c>
      <c r="C1069" s="86">
        <v>0</v>
      </c>
      <c r="D1069" s="86">
        <v>0</v>
      </c>
      <c r="E1069" s="86">
        <v>0</v>
      </c>
      <c r="F1069" s="86">
        <v>0</v>
      </c>
      <c r="G1069" s="86">
        <v>0</v>
      </c>
      <c r="H1069" s="17">
        <f t="shared" si="47"/>
        <v>0</v>
      </c>
    </row>
    <row r="1070" spans="1:8" x14ac:dyDescent="0.45">
      <c r="A1070" s="3" t="s">
        <v>3</v>
      </c>
      <c r="B1070" s="86">
        <v>1</v>
      </c>
      <c r="C1070" s="86">
        <v>5</v>
      </c>
      <c r="D1070" s="86">
        <v>2</v>
      </c>
      <c r="E1070" s="86">
        <v>1</v>
      </c>
      <c r="F1070" s="86">
        <v>0</v>
      </c>
      <c r="G1070" s="86">
        <v>1</v>
      </c>
      <c r="H1070" s="17">
        <f t="shared" si="47"/>
        <v>10</v>
      </c>
    </row>
    <row r="1071" spans="1:8" x14ac:dyDescent="0.45">
      <c r="A1071" s="3" t="s">
        <v>4</v>
      </c>
      <c r="B1071" s="86">
        <v>1</v>
      </c>
      <c r="C1071" s="86">
        <v>0</v>
      </c>
      <c r="D1071" s="86">
        <v>0</v>
      </c>
      <c r="E1071" s="86">
        <v>0</v>
      </c>
      <c r="F1071" s="86">
        <v>0</v>
      </c>
      <c r="G1071" s="86">
        <v>0</v>
      </c>
      <c r="H1071" s="17">
        <f t="shared" si="47"/>
        <v>1</v>
      </c>
    </row>
    <row r="1072" spans="1:8" x14ac:dyDescent="0.45">
      <c r="A1072" s="3" t="s">
        <v>5</v>
      </c>
      <c r="B1072" s="86">
        <v>0</v>
      </c>
      <c r="C1072" s="86">
        <v>0</v>
      </c>
      <c r="D1072" s="86">
        <v>0</v>
      </c>
      <c r="E1072" s="86">
        <v>0</v>
      </c>
      <c r="F1072" s="86">
        <v>0</v>
      </c>
      <c r="G1072" s="86">
        <v>0</v>
      </c>
      <c r="H1072" s="17">
        <f t="shared" si="47"/>
        <v>0</v>
      </c>
    </row>
    <row r="1073" spans="1:8" x14ac:dyDescent="0.45">
      <c r="A1073" s="3" t="s">
        <v>7</v>
      </c>
      <c r="B1073" s="86">
        <v>0</v>
      </c>
      <c r="C1073" s="86">
        <v>0</v>
      </c>
      <c r="D1073" s="86">
        <v>0</v>
      </c>
      <c r="E1073" s="86">
        <v>0</v>
      </c>
      <c r="F1073" s="86">
        <v>8</v>
      </c>
      <c r="G1073" s="86">
        <v>2</v>
      </c>
      <c r="H1073" s="17">
        <f t="shared" si="47"/>
        <v>10</v>
      </c>
    </row>
    <row r="1074" spans="1:8" x14ac:dyDescent="0.45">
      <c r="A1074" s="3" t="s">
        <v>50</v>
      </c>
      <c r="B1074" s="86">
        <v>0</v>
      </c>
      <c r="C1074" s="86">
        <v>0</v>
      </c>
      <c r="D1074" s="86">
        <v>1</v>
      </c>
      <c r="E1074" s="86">
        <v>0</v>
      </c>
      <c r="F1074" s="86">
        <v>0</v>
      </c>
      <c r="G1074" s="86">
        <v>0</v>
      </c>
      <c r="H1074" s="17">
        <f t="shared" si="47"/>
        <v>1</v>
      </c>
    </row>
    <row r="1075" spans="1:8" x14ac:dyDescent="0.45">
      <c r="A1075" s="3" t="s">
        <v>51</v>
      </c>
      <c r="B1075" s="86">
        <v>0</v>
      </c>
      <c r="C1075" s="86">
        <v>0</v>
      </c>
      <c r="D1075" s="86">
        <v>0</v>
      </c>
      <c r="E1075" s="86">
        <v>0</v>
      </c>
      <c r="F1075" s="86">
        <v>0</v>
      </c>
      <c r="G1075" s="86">
        <v>0</v>
      </c>
      <c r="H1075" s="17">
        <f t="shared" si="47"/>
        <v>0</v>
      </c>
    </row>
    <row r="1076" spans="1:8" x14ac:dyDescent="0.45">
      <c r="A1076" s="3" t="s">
        <v>42</v>
      </c>
      <c r="B1076" s="86">
        <v>0</v>
      </c>
      <c r="C1076" s="86">
        <v>0</v>
      </c>
      <c r="D1076" s="86">
        <v>1</v>
      </c>
      <c r="E1076" s="86">
        <v>1</v>
      </c>
      <c r="F1076" s="86">
        <v>0</v>
      </c>
      <c r="G1076" s="86">
        <v>0</v>
      </c>
      <c r="H1076" s="17">
        <f t="shared" si="47"/>
        <v>2</v>
      </c>
    </row>
    <row r="1077" spans="1:8" x14ac:dyDescent="0.45">
      <c r="A1077" s="3" t="s">
        <v>8</v>
      </c>
      <c r="B1077" s="86">
        <v>0</v>
      </c>
      <c r="C1077" s="86">
        <v>0</v>
      </c>
      <c r="D1077" s="86">
        <v>0</v>
      </c>
      <c r="E1077" s="86">
        <v>0</v>
      </c>
      <c r="F1077" s="86">
        <v>28</v>
      </c>
      <c r="G1077" s="86">
        <v>0</v>
      </c>
      <c r="H1077" s="17">
        <f t="shared" si="47"/>
        <v>28</v>
      </c>
    </row>
    <row r="1078" spans="1:8" x14ac:dyDescent="0.45">
      <c r="A1078" s="3" t="s">
        <v>9</v>
      </c>
      <c r="B1078" s="86">
        <v>205</v>
      </c>
      <c r="C1078" s="86">
        <v>95</v>
      </c>
      <c r="D1078" s="86">
        <v>268</v>
      </c>
      <c r="E1078" s="86">
        <v>65</v>
      </c>
      <c r="F1078" s="86">
        <v>0</v>
      </c>
      <c r="G1078" s="86">
        <v>0</v>
      </c>
      <c r="H1078" s="17">
        <f t="shared" si="47"/>
        <v>633</v>
      </c>
    </row>
    <row r="1079" spans="1:8" x14ac:dyDescent="0.45">
      <c r="A1079" s="3" t="s">
        <v>44</v>
      </c>
      <c r="B1079" s="86">
        <v>0</v>
      </c>
      <c r="C1079" s="86">
        <v>4</v>
      </c>
      <c r="D1079" s="86">
        <v>2</v>
      </c>
      <c r="E1079" s="86">
        <v>0</v>
      </c>
      <c r="F1079" s="86">
        <v>0</v>
      </c>
      <c r="G1079" s="86">
        <v>0</v>
      </c>
      <c r="H1079" s="17">
        <f t="shared" si="47"/>
        <v>6</v>
      </c>
    </row>
    <row r="1080" spans="1:8" x14ac:dyDescent="0.45">
      <c r="A1080" s="3" t="s">
        <v>10</v>
      </c>
      <c r="B1080" s="86">
        <v>15</v>
      </c>
      <c r="C1080" s="86">
        <v>16</v>
      </c>
      <c r="D1080" s="86">
        <v>15</v>
      </c>
      <c r="E1080" s="86">
        <v>2</v>
      </c>
      <c r="F1080" s="86">
        <v>0</v>
      </c>
      <c r="G1080" s="86">
        <v>0</v>
      </c>
      <c r="H1080" s="17">
        <f t="shared" si="47"/>
        <v>48</v>
      </c>
    </row>
    <row r="1081" spans="1:8" x14ac:dyDescent="0.45">
      <c r="A1081" s="3" t="s">
        <v>11</v>
      </c>
      <c r="B1081" s="86">
        <v>55</v>
      </c>
      <c r="C1081" s="86">
        <v>419</v>
      </c>
      <c r="D1081" s="86">
        <v>50</v>
      </c>
      <c r="E1081" s="86">
        <v>155</v>
      </c>
      <c r="F1081" s="86">
        <v>125</v>
      </c>
      <c r="G1081" s="86">
        <v>125</v>
      </c>
      <c r="H1081" s="17">
        <f t="shared" si="47"/>
        <v>929</v>
      </c>
    </row>
    <row r="1082" spans="1:8" x14ac:dyDescent="0.45">
      <c r="A1082" s="3" t="s">
        <v>12</v>
      </c>
      <c r="B1082" s="86">
        <v>16</v>
      </c>
      <c r="C1082" s="86">
        <v>163</v>
      </c>
      <c r="D1082" s="86">
        <v>20</v>
      </c>
      <c r="E1082" s="86">
        <v>35</v>
      </c>
      <c r="F1082" s="86">
        <v>6</v>
      </c>
      <c r="G1082" s="86">
        <v>2</v>
      </c>
      <c r="H1082" s="17">
        <f t="shared" si="47"/>
        <v>242</v>
      </c>
    </row>
    <row r="1083" spans="1:8" x14ac:dyDescent="0.45">
      <c r="A1083" s="3" t="s">
        <v>32</v>
      </c>
      <c r="B1083" s="86">
        <v>0</v>
      </c>
      <c r="C1083" s="86">
        <v>0</v>
      </c>
      <c r="D1083" s="86">
        <v>0</v>
      </c>
      <c r="E1083" s="86">
        <v>0</v>
      </c>
      <c r="F1083" s="86">
        <v>0</v>
      </c>
      <c r="G1083" s="86">
        <v>1</v>
      </c>
      <c r="H1083" s="17">
        <f t="shared" si="47"/>
        <v>1</v>
      </c>
    </row>
    <row r="1084" spans="1:8" x14ac:dyDescent="0.45">
      <c r="A1084" s="3" t="s">
        <v>18</v>
      </c>
      <c r="B1084" s="86">
        <v>0</v>
      </c>
      <c r="C1084" s="86">
        <v>30</v>
      </c>
      <c r="D1084" s="86">
        <v>6120</v>
      </c>
      <c r="E1084" s="86">
        <v>20</v>
      </c>
      <c r="F1084" s="86">
        <v>1</v>
      </c>
      <c r="G1084" s="86">
        <v>4</v>
      </c>
      <c r="H1084" s="17">
        <f t="shared" si="47"/>
        <v>6175</v>
      </c>
    </row>
    <row r="1085" spans="1:8" x14ac:dyDescent="0.45">
      <c r="A1085" s="3" t="s">
        <v>46</v>
      </c>
      <c r="B1085" s="86">
        <v>0</v>
      </c>
      <c r="C1085" s="86">
        <v>0</v>
      </c>
      <c r="D1085" s="86">
        <v>0</v>
      </c>
      <c r="E1085" s="86">
        <v>0</v>
      </c>
      <c r="F1085" s="86">
        <v>0</v>
      </c>
      <c r="G1085" s="86">
        <v>0</v>
      </c>
      <c r="H1085" s="17">
        <f t="shared" si="47"/>
        <v>0</v>
      </c>
    </row>
    <row r="1086" spans="1:8" x14ac:dyDescent="0.45">
      <c r="A1086" s="3" t="s">
        <v>13</v>
      </c>
      <c r="B1086" s="86">
        <v>0</v>
      </c>
      <c r="C1086" s="86">
        <v>0</v>
      </c>
      <c r="D1086" s="86">
        <v>0</v>
      </c>
      <c r="E1086" s="86">
        <v>0</v>
      </c>
      <c r="F1086" s="86">
        <v>0</v>
      </c>
      <c r="G1086" s="86">
        <v>0</v>
      </c>
      <c r="H1086" s="17">
        <f t="shared" si="47"/>
        <v>0</v>
      </c>
    </row>
    <row r="1087" spans="1:8" x14ac:dyDescent="0.45">
      <c r="A1087" s="3" t="s">
        <v>14</v>
      </c>
      <c r="B1087" s="86">
        <v>107</v>
      </c>
      <c r="C1087" s="86">
        <v>29</v>
      </c>
      <c r="D1087" s="86">
        <v>306</v>
      </c>
      <c r="E1087" s="86">
        <v>7</v>
      </c>
      <c r="F1087" s="86">
        <v>4</v>
      </c>
      <c r="G1087" s="86">
        <v>54</v>
      </c>
      <c r="H1087" s="17">
        <f t="shared" si="47"/>
        <v>507</v>
      </c>
    </row>
    <row r="1088" spans="1:8" x14ac:dyDescent="0.45">
      <c r="A1088" s="3" t="s">
        <v>40</v>
      </c>
      <c r="B1088" s="86">
        <v>0</v>
      </c>
      <c r="C1088" s="86">
        <v>0</v>
      </c>
      <c r="D1088" s="86">
        <v>1</v>
      </c>
      <c r="E1088" s="86">
        <v>0</v>
      </c>
      <c r="F1088" s="86">
        <v>0</v>
      </c>
      <c r="G1088" s="86">
        <v>0</v>
      </c>
      <c r="H1088" s="17">
        <f t="shared" si="47"/>
        <v>1</v>
      </c>
    </row>
    <row r="1089" spans="1:8" x14ac:dyDescent="0.45">
      <c r="A1089" s="3" t="s">
        <v>52</v>
      </c>
      <c r="B1089" s="86">
        <v>0</v>
      </c>
      <c r="C1089" s="86">
        <v>1</v>
      </c>
      <c r="D1089" s="86">
        <v>0</v>
      </c>
      <c r="E1089" s="86">
        <v>0</v>
      </c>
      <c r="F1089" s="86">
        <v>0</v>
      </c>
      <c r="G1089" s="86">
        <v>0</v>
      </c>
      <c r="H1089" s="17">
        <f t="shared" si="47"/>
        <v>1</v>
      </c>
    </row>
    <row r="1090" spans="1:8" x14ac:dyDescent="0.45">
      <c r="A1090" s="3" t="s">
        <v>53</v>
      </c>
      <c r="B1090" s="86">
        <v>0</v>
      </c>
      <c r="C1090" s="86">
        <v>0</v>
      </c>
      <c r="D1090" s="86">
        <v>0</v>
      </c>
      <c r="E1090" s="86">
        <v>0</v>
      </c>
      <c r="F1090" s="86">
        <v>0</v>
      </c>
      <c r="G1090" s="86">
        <v>0</v>
      </c>
      <c r="H1090" s="17">
        <f t="shared" si="47"/>
        <v>0</v>
      </c>
    </row>
    <row r="1091" spans="1:8" x14ac:dyDescent="0.45">
      <c r="A1091" s="3" t="s">
        <v>15</v>
      </c>
      <c r="B1091" s="86">
        <v>2</v>
      </c>
      <c r="C1091" s="86">
        <v>0</v>
      </c>
      <c r="D1091" s="86">
        <v>11</v>
      </c>
      <c r="E1091" s="86">
        <v>0</v>
      </c>
      <c r="F1091" s="86">
        <v>4</v>
      </c>
      <c r="G1091" s="86">
        <v>0</v>
      </c>
      <c r="H1091" s="17">
        <f t="shared" si="47"/>
        <v>17</v>
      </c>
    </row>
    <row r="1092" spans="1:8" x14ac:dyDescent="0.45">
      <c r="A1092" s="3" t="s">
        <v>54</v>
      </c>
      <c r="B1092" s="86">
        <v>0</v>
      </c>
      <c r="C1092" s="86">
        <v>0</v>
      </c>
      <c r="D1092" s="86">
        <v>0</v>
      </c>
      <c r="E1092" s="86">
        <v>0</v>
      </c>
      <c r="F1092" s="86">
        <v>0</v>
      </c>
      <c r="G1092" s="86">
        <v>0</v>
      </c>
      <c r="H1092" s="17">
        <f t="shared" si="47"/>
        <v>0</v>
      </c>
    </row>
    <row r="1093" spans="1:8" x14ac:dyDescent="0.45">
      <c r="A1093" s="3" t="s">
        <v>74</v>
      </c>
      <c r="B1093" s="86">
        <v>1</v>
      </c>
      <c r="C1093" s="86">
        <v>3</v>
      </c>
      <c r="D1093" s="86">
        <v>11</v>
      </c>
      <c r="E1093" s="86">
        <v>0</v>
      </c>
      <c r="F1093" s="86">
        <v>2</v>
      </c>
      <c r="G1093" s="86">
        <v>0</v>
      </c>
      <c r="H1093" s="17">
        <f t="shared" si="47"/>
        <v>17</v>
      </c>
    </row>
    <row r="1094" spans="1:8" x14ac:dyDescent="0.45">
      <c r="A1094" s="3" t="s">
        <v>16</v>
      </c>
      <c r="B1094" s="86">
        <v>0</v>
      </c>
      <c r="C1094" s="86">
        <v>0</v>
      </c>
      <c r="D1094" s="86">
        <v>0</v>
      </c>
      <c r="E1094" s="86">
        <v>0</v>
      </c>
      <c r="F1094" s="86">
        <v>0</v>
      </c>
      <c r="G1094" s="86">
        <v>0</v>
      </c>
      <c r="H1094" s="17">
        <f t="shared" si="47"/>
        <v>0</v>
      </c>
    </row>
    <row r="1095" spans="1:8" x14ac:dyDescent="0.45">
      <c r="A1095" s="131" t="s">
        <v>17</v>
      </c>
      <c r="B1095" s="86">
        <v>0</v>
      </c>
      <c r="C1095" s="86">
        <v>0</v>
      </c>
      <c r="D1095" s="86">
        <v>0</v>
      </c>
      <c r="E1095" s="86">
        <v>17</v>
      </c>
      <c r="F1095" s="86">
        <v>0</v>
      </c>
      <c r="G1095" s="86">
        <v>0</v>
      </c>
      <c r="H1095" s="17">
        <f t="shared" si="47"/>
        <v>17</v>
      </c>
    </row>
    <row r="1096" spans="1:8" x14ac:dyDescent="0.45">
      <c r="A1096" s="90" t="s">
        <v>151</v>
      </c>
      <c r="H1096" s="17">
        <f t="shared" si="47"/>
        <v>0</v>
      </c>
    </row>
    <row r="1097" spans="1:8" x14ac:dyDescent="0.45">
      <c r="A1097" s="11" t="s">
        <v>24</v>
      </c>
      <c r="B1097" s="86">
        <v>438</v>
      </c>
      <c r="C1097" s="86">
        <v>810</v>
      </c>
      <c r="D1097" s="86">
        <v>6870</v>
      </c>
      <c r="E1097" s="86">
        <v>355</v>
      </c>
      <c r="F1097" s="86">
        <v>229</v>
      </c>
      <c r="G1097" s="86">
        <v>230</v>
      </c>
      <c r="H1097" s="17">
        <f t="shared" si="47"/>
        <v>8932</v>
      </c>
    </row>
    <row r="1100" spans="1:8" x14ac:dyDescent="0.45">
      <c r="A1100" s="37" t="s">
        <v>213</v>
      </c>
      <c r="B1100" s="180"/>
      <c r="C1100" s="180"/>
    </row>
    <row r="1101" spans="1:8" s="180" customFormat="1" x14ac:dyDescent="0.45">
      <c r="A1101" s="1" t="s">
        <v>113</v>
      </c>
    </row>
    <row r="1102" spans="1:8" x14ac:dyDescent="0.45">
      <c r="B1102" s="180"/>
      <c r="C1102" s="180"/>
    </row>
    <row r="1103" spans="1:8" x14ac:dyDescent="0.45">
      <c r="B1103" t="s">
        <v>20</v>
      </c>
      <c r="C1103" t="s">
        <v>21</v>
      </c>
    </row>
    <row r="1104" spans="1:8" x14ac:dyDescent="0.45">
      <c r="A1104" s="34" t="s">
        <v>19</v>
      </c>
      <c r="B1104" s="91">
        <v>28</v>
      </c>
      <c r="C1104" s="91">
        <v>3</v>
      </c>
      <c r="D1104" s="91">
        <v>8</v>
      </c>
      <c r="E1104" s="91">
        <v>13</v>
      </c>
      <c r="F1104" s="91">
        <v>18</v>
      </c>
      <c r="G1104" s="91">
        <v>23</v>
      </c>
      <c r="H1104" s="22" t="s">
        <v>24</v>
      </c>
    </row>
    <row r="1105" spans="1:8" x14ac:dyDescent="0.45">
      <c r="A1105" s="90" t="s">
        <v>1</v>
      </c>
      <c r="B1105" s="86">
        <v>10</v>
      </c>
      <c r="C1105" s="86">
        <v>30</v>
      </c>
      <c r="D1105" s="86">
        <v>52</v>
      </c>
      <c r="E1105" s="86">
        <v>54</v>
      </c>
      <c r="F1105" s="86">
        <v>55</v>
      </c>
      <c r="G1105" s="86">
        <v>42</v>
      </c>
      <c r="H1105" s="86">
        <f>SUM(B1105:G1105)</f>
        <v>243</v>
      </c>
    </row>
    <row r="1106" spans="1:8" x14ac:dyDescent="0.45">
      <c r="A1106" s="90" t="s">
        <v>45</v>
      </c>
      <c r="B1106" s="86">
        <v>0</v>
      </c>
      <c r="C1106" s="86">
        <v>0</v>
      </c>
      <c r="D1106" s="86">
        <v>0</v>
      </c>
      <c r="E1106" s="86">
        <v>0</v>
      </c>
      <c r="F1106" s="86">
        <v>0</v>
      </c>
      <c r="G1106" s="86">
        <v>0</v>
      </c>
      <c r="H1106" s="86">
        <f t="shared" ref="H1106:H1134" si="48">SUM(B1106:G1106)</f>
        <v>0</v>
      </c>
    </row>
    <row r="1107" spans="1:8" x14ac:dyDescent="0.45">
      <c r="A1107" s="90" t="s">
        <v>41</v>
      </c>
      <c r="B1107" s="86">
        <v>2</v>
      </c>
      <c r="C1107" s="86">
        <v>4</v>
      </c>
      <c r="D1107" s="86">
        <v>1</v>
      </c>
      <c r="E1107" s="86">
        <v>4</v>
      </c>
      <c r="F1107" s="86">
        <v>1</v>
      </c>
      <c r="G1107" s="86">
        <v>0</v>
      </c>
      <c r="H1107" s="86">
        <f t="shared" si="48"/>
        <v>12</v>
      </c>
    </row>
    <row r="1108" spans="1:8" x14ac:dyDescent="0.45">
      <c r="A1108" s="90" t="s">
        <v>2</v>
      </c>
      <c r="B1108" s="86">
        <v>8</v>
      </c>
      <c r="C1108" s="86">
        <v>7</v>
      </c>
      <c r="D1108" s="86">
        <v>17</v>
      </c>
      <c r="E1108" s="86">
        <v>16</v>
      </c>
      <c r="F1108" s="86">
        <v>3</v>
      </c>
      <c r="G1108" s="86">
        <v>0</v>
      </c>
      <c r="H1108" s="86">
        <f t="shared" si="48"/>
        <v>51</v>
      </c>
    </row>
    <row r="1109" spans="1:8" x14ac:dyDescent="0.45">
      <c r="A1109" s="90" t="s">
        <v>43</v>
      </c>
      <c r="B1109" s="86">
        <v>0</v>
      </c>
      <c r="C1109" s="86">
        <v>0</v>
      </c>
      <c r="D1109" s="86">
        <v>0</v>
      </c>
      <c r="E1109" s="86">
        <v>0</v>
      </c>
      <c r="F1109" s="86">
        <v>0</v>
      </c>
      <c r="G1109" s="86">
        <v>0</v>
      </c>
      <c r="H1109" s="86">
        <f t="shared" si="48"/>
        <v>0</v>
      </c>
    </row>
    <row r="1110" spans="1:8" x14ac:dyDescent="0.45">
      <c r="A1110" s="90" t="s">
        <v>3</v>
      </c>
      <c r="B1110" s="86">
        <v>5</v>
      </c>
      <c r="C1110" s="86">
        <v>5</v>
      </c>
      <c r="D1110" s="86">
        <v>3</v>
      </c>
      <c r="E1110" s="86">
        <v>5</v>
      </c>
      <c r="F1110" s="86">
        <v>4</v>
      </c>
      <c r="G1110" s="86">
        <v>0</v>
      </c>
      <c r="H1110" s="86">
        <f t="shared" si="48"/>
        <v>22</v>
      </c>
    </row>
    <row r="1111" spans="1:8" x14ac:dyDescent="0.45">
      <c r="A1111" s="90" t="s">
        <v>4</v>
      </c>
      <c r="B1111" s="86">
        <v>0</v>
      </c>
      <c r="C1111" s="86">
        <v>0</v>
      </c>
      <c r="D1111" s="86">
        <v>0</v>
      </c>
      <c r="E1111" s="86">
        <v>0</v>
      </c>
      <c r="F1111" s="86">
        <v>0</v>
      </c>
      <c r="G1111" s="86">
        <v>0</v>
      </c>
      <c r="H1111" s="86">
        <f t="shared" si="48"/>
        <v>0</v>
      </c>
    </row>
    <row r="1112" spans="1:8" x14ac:dyDescent="0.45">
      <c r="A1112" s="90" t="s">
        <v>48</v>
      </c>
      <c r="B1112" s="86">
        <v>0</v>
      </c>
      <c r="C1112" s="86">
        <v>0</v>
      </c>
      <c r="D1112" s="86">
        <v>0</v>
      </c>
      <c r="E1112" s="86">
        <v>0</v>
      </c>
      <c r="F1112" s="86">
        <v>0</v>
      </c>
      <c r="G1112" s="86">
        <v>0</v>
      </c>
      <c r="H1112" s="86">
        <f t="shared" si="48"/>
        <v>0</v>
      </c>
    </row>
    <row r="1113" spans="1:8" x14ac:dyDescent="0.45">
      <c r="A1113" s="90" t="s">
        <v>7</v>
      </c>
      <c r="B1113" s="86">
        <v>0</v>
      </c>
      <c r="C1113" s="86">
        <v>41</v>
      </c>
      <c r="D1113" s="86">
        <v>0</v>
      </c>
      <c r="E1113" s="86">
        <v>10</v>
      </c>
      <c r="F1113" s="86">
        <v>0</v>
      </c>
      <c r="G1113" s="86">
        <v>0</v>
      </c>
      <c r="H1113" s="86">
        <f t="shared" si="48"/>
        <v>51</v>
      </c>
    </row>
    <row r="1114" spans="1:8" x14ac:dyDescent="0.45">
      <c r="A1114" s="90" t="s">
        <v>50</v>
      </c>
      <c r="B1114" s="86">
        <v>0</v>
      </c>
      <c r="C1114" s="86">
        <v>1</v>
      </c>
      <c r="D1114" s="86">
        <v>0</v>
      </c>
      <c r="E1114" s="86">
        <v>0</v>
      </c>
      <c r="F1114" s="86">
        <v>0</v>
      </c>
      <c r="G1114" s="86">
        <v>0</v>
      </c>
      <c r="H1114" s="86">
        <f t="shared" si="48"/>
        <v>1</v>
      </c>
    </row>
    <row r="1115" spans="1:8" x14ac:dyDescent="0.45">
      <c r="A1115" s="90" t="s">
        <v>51</v>
      </c>
      <c r="B1115" s="86">
        <v>0</v>
      </c>
      <c r="C1115" s="86">
        <v>0</v>
      </c>
      <c r="D1115" s="86">
        <v>0</v>
      </c>
      <c r="E1115" s="86">
        <v>1</v>
      </c>
      <c r="F1115" s="86">
        <v>0</v>
      </c>
      <c r="G1115" s="86">
        <v>0</v>
      </c>
      <c r="H1115" s="86">
        <f t="shared" si="48"/>
        <v>1</v>
      </c>
    </row>
    <row r="1116" spans="1:8" x14ac:dyDescent="0.45">
      <c r="A1116" s="90" t="s">
        <v>42</v>
      </c>
      <c r="B1116" s="86">
        <v>1</v>
      </c>
      <c r="C1116" s="86">
        <v>3</v>
      </c>
      <c r="D1116" s="86">
        <v>0</v>
      </c>
      <c r="E1116" s="86">
        <v>6</v>
      </c>
      <c r="F1116" s="86">
        <v>0</v>
      </c>
      <c r="G1116" s="86">
        <v>1</v>
      </c>
      <c r="H1116" s="86">
        <f t="shared" si="48"/>
        <v>11</v>
      </c>
    </row>
    <row r="1117" spans="1:8" x14ac:dyDescent="0.45">
      <c r="A1117" s="90" t="s">
        <v>8</v>
      </c>
      <c r="B1117" s="86">
        <v>0</v>
      </c>
      <c r="C1117" s="86">
        <v>4</v>
      </c>
      <c r="D1117" s="86">
        <v>22</v>
      </c>
      <c r="E1117" s="86">
        <v>14</v>
      </c>
      <c r="F1117" s="86">
        <v>18</v>
      </c>
      <c r="G1117" s="86">
        <v>0</v>
      </c>
      <c r="H1117" s="86">
        <f t="shared" si="48"/>
        <v>58</v>
      </c>
    </row>
    <row r="1118" spans="1:8" x14ac:dyDescent="0.45">
      <c r="A1118" s="90" t="s">
        <v>9</v>
      </c>
      <c r="B1118" s="86">
        <v>16</v>
      </c>
      <c r="C1118" s="86">
        <v>650</v>
      </c>
      <c r="D1118" s="86">
        <v>413</v>
      </c>
      <c r="E1118" s="86">
        <v>2</v>
      </c>
      <c r="F1118" s="86">
        <v>87</v>
      </c>
      <c r="G1118" s="86">
        <v>2</v>
      </c>
      <c r="H1118" s="86">
        <f t="shared" si="48"/>
        <v>1170</v>
      </c>
    </row>
    <row r="1119" spans="1:8" x14ac:dyDescent="0.45">
      <c r="A1119" s="90" t="s">
        <v>44</v>
      </c>
      <c r="B1119" s="86">
        <v>0</v>
      </c>
      <c r="C1119" s="86">
        <v>2</v>
      </c>
      <c r="D1119" s="86">
        <v>1</v>
      </c>
      <c r="E1119" s="86">
        <v>0</v>
      </c>
      <c r="F1119" s="86">
        <v>1</v>
      </c>
      <c r="G1119" s="86">
        <v>3</v>
      </c>
      <c r="H1119" s="86">
        <f t="shared" si="48"/>
        <v>7</v>
      </c>
    </row>
    <row r="1120" spans="1:8" x14ac:dyDescent="0.45">
      <c r="A1120" s="90" t="s">
        <v>10</v>
      </c>
      <c r="B1120" s="86">
        <v>2</v>
      </c>
      <c r="C1120" s="86">
        <v>15</v>
      </c>
      <c r="D1120" s="86">
        <v>15</v>
      </c>
      <c r="E1120" s="86">
        <v>80</v>
      </c>
      <c r="F1120" s="86">
        <v>10</v>
      </c>
      <c r="G1120" s="86">
        <v>0</v>
      </c>
      <c r="H1120" s="86">
        <f t="shared" si="48"/>
        <v>122</v>
      </c>
    </row>
    <row r="1121" spans="1:8" x14ac:dyDescent="0.45">
      <c r="A1121" s="90" t="s">
        <v>11</v>
      </c>
      <c r="B1121" s="86">
        <v>50</v>
      </c>
      <c r="C1121" s="86">
        <v>1611</v>
      </c>
      <c r="D1121" s="86">
        <v>2885</v>
      </c>
      <c r="E1121" s="86">
        <v>2431</v>
      </c>
      <c r="F1121" s="86">
        <v>212</v>
      </c>
      <c r="G1121" s="86">
        <v>36</v>
      </c>
      <c r="H1121" s="86">
        <f t="shared" si="48"/>
        <v>7225</v>
      </c>
    </row>
    <row r="1122" spans="1:8" x14ac:dyDescent="0.45">
      <c r="A1122" s="90" t="s">
        <v>12</v>
      </c>
      <c r="B1122" s="86">
        <v>3</v>
      </c>
      <c r="C1122" s="86">
        <v>25</v>
      </c>
      <c r="D1122" s="86">
        <v>49</v>
      </c>
      <c r="E1122" s="86">
        <v>24</v>
      </c>
      <c r="F1122" s="86">
        <v>1</v>
      </c>
      <c r="G1122" s="86">
        <v>0</v>
      </c>
      <c r="H1122" s="86">
        <f t="shared" si="48"/>
        <v>102</v>
      </c>
    </row>
    <row r="1123" spans="1:8" x14ac:dyDescent="0.45">
      <c r="A1123" s="90" t="s">
        <v>32</v>
      </c>
      <c r="B1123" s="86">
        <v>0</v>
      </c>
      <c r="C1123" s="86">
        <v>5</v>
      </c>
      <c r="D1123" s="86">
        <v>0</v>
      </c>
      <c r="E1123" s="86">
        <v>0</v>
      </c>
      <c r="F1123" s="86">
        <v>5</v>
      </c>
      <c r="G1123" s="86">
        <v>0</v>
      </c>
      <c r="H1123" s="86">
        <f t="shared" si="48"/>
        <v>10</v>
      </c>
    </row>
    <row r="1124" spans="1:8" x14ac:dyDescent="0.45">
      <c r="A1124" s="90" t="s">
        <v>18</v>
      </c>
      <c r="B1124" s="86">
        <v>0</v>
      </c>
      <c r="C1124" s="86">
        <v>40</v>
      </c>
      <c r="D1124" s="86">
        <v>150</v>
      </c>
      <c r="E1124" s="86">
        <v>140</v>
      </c>
      <c r="F1124" s="86">
        <v>30</v>
      </c>
      <c r="G1124" s="86">
        <v>0</v>
      </c>
      <c r="H1124" s="86">
        <f t="shared" si="48"/>
        <v>360</v>
      </c>
    </row>
    <row r="1125" spans="1:8" x14ac:dyDescent="0.45">
      <c r="A1125" s="90" t="s">
        <v>46</v>
      </c>
      <c r="B1125" s="86">
        <v>0</v>
      </c>
      <c r="C1125" s="86">
        <v>0</v>
      </c>
      <c r="D1125" s="86">
        <v>0</v>
      </c>
      <c r="E1125" s="86">
        <v>0</v>
      </c>
      <c r="F1125" s="86">
        <v>0</v>
      </c>
      <c r="G1125" s="86">
        <v>0</v>
      </c>
      <c r="H1125" s="86">
        <f t="shared" si="48"/>
        <v>0</v>
      </c>
    </row>
    <row r="1126" spans="1:8" x14ac:dyDescent="0.45">
      <c r="A1126" s="90" t="s">
        <v>13</v>
      </c>
      <c r="B1126" s="86">
        <v>0</v>
      </c>
      <c r="C1126" s="86">
        <v>0</v>
      </c>
      <c r="D1126" s="86">
        <v>6</v>
      </c>
      <c r="E1126" s="86">
        <v>0</v>
      </c>
      <c r="F1126" s="86">
        <v>0</v>
      </c>
      <c r="G1126" s="86">
        <v>9</v>
      </c>
      <c r="H1126" s="86">
        <f t="shared" si="48"/>
        <v>15</v>
      </c>
    </row>
    <row r="1127" spans="1:8" x14ac:dyDescent="0.45">
      <c r="A1127" s="90" t="s">
        <v>14</v>
      </c>
      <c r="B1127" s="86">
        <v>9</v>
      </c>
      <c r="C1127" s="86">
        <v>173</v>
      </c>
      <c r="D1127" s="86">
        <v>263</v>
      </c>
      <c r="E1127" s="86">
        <v>126</v>
      </c>
      <c r="F1127" s="86">
        <v>19</v>
      </c>
      <c r="G1127" s="86">
        <v>0</v>
      </c>
      <c r="H1127" s="86">
        <f t="shared" si="48"/>
        <v>590</v>
      </c>
    </row>
    <row r="1128" spans="1:8" x14ac:dyDescent="0.45">
      <c r="A1128" s="90" t="s">
        <v>40</v>
      </c>
      <c r="B1128" s="86">
        <v>5</v>
      </c>
      <c r="C1128" s="86">
        <v>0</v>
      </c>
      <c r="D1128" s="86">
        <v>0</v>
      </c>
      <c r="E1128" s="86">
        <v>0</v>
      </c>
      <c r="F1128" s="86">
        <v>0</v>
      </c>
      <c r="G1128" s="86">
        <v>0</v>
      </c>
      <c r="H1128" s="86">
        <f t="shared" si="48"/>
        <v>5</v>
      </c>
    </row>
    <row r="1129" spans="1:8" x14ac:dyDescent="0.45">
      <c r="A1129" s="90" t="s">
        <v>52</v>
      </c>
      <c r="B1129" s="86">
        <v>0</v>
      </c>
      <c r="C1129" s="86">
        <v>0</v>
      </c>
      <c r="D1129" s="86">
        <v>0</v>
      </c>
      <c r="E1129" s="86">
        <v>0</v>
      </c>
      <c r="F1129" s="86">
        <v>0</v>
      </c>
      <c r="G1129" s="86">
        <v>0</v>
      </c>
      <c r="H1129" s="86">
        <f t="shared" si="48"/>
        <v>0</v>
      </c>
    </row>
    <row r="1130" spans="1:8" x14ac:dyDescent="0.45">
      <c r="A1130" s="90" t="s">
        <v>53</v>
      </c>
      <c r="B1130" s="86">
        <v>0</v>
      </c>
      <c r="C1130" s="86">
        <v>0</v>
      </c>
      <c r="D1130" s="86">
        <v>0</v>
      </c>
      <c r="E1130" s="86">
        <v>0</v>
      </c>
      <c r="F1130" s="86">
        <v>0</v>
      </c>
      <c r="G1130" s="86">
        <v>0</v>
      </c>
      <c r="H1130" s="86">
        <f t="shared" si="48"/>
        <v>0</v>
      </c>
    </row>
    <row r="1131" spans="1:8" x14ac:dyDescent="0.45">
      <c r="A1131" s="90" t="s">
        <v>15</v>
      </c>
      <c r="B1131" s="86">
        <v>0</v>
      </c>
      <c r="C1131" s="86">
        <v>7</v>
      </c>
      <c r="D1131" s="86">
        <v>30</v>
      </c>
      <c r="E1131" s="86">
        <v>11</v>
      </c>
      <c r="F1131" s="86">
        <v>0</v>
      </c>
      <c r="G1131" s="86">
        <v>8</v>
      </c>
      <c r="H1131" s="86">
        <f t="shared" si="48"/>
        <v>56</v>
      </c>
    </row>
    <row r="1132" spans="1:8" x14ac:dyDescent="0.45">
      <c r="A1132" s="90" t="s">
        <v>54</v>
      </c>
      <c r="B1132" s="86">
        <v>0</v>
      </c>
      <c r="C1132" s="86">
        <v>1</v>
      </c>
      <c r="D1132" s="86">
        <v>36</v>
      </c>
      <c r="E1132" s="86">
        <v>0</v>
      </c>
      <c r="F1132" s="86">
        <v>0</v>
      </c>
      <c r="G1132" s="86">
        <v>0</v>
      </c>
      <c r="H1132" s="86">
        <f t="shared" si="48"/>
        <v>37</v>
      </c>
    </row>
    <row r="1133" spans="1:8" x14ac:dyDescent="0.45">
      <c r="A1133" s="90" t="s">
        <v>47</v>
      </c>
      <c r="B1133" s="86">
        <v>0</v>
      </c>
      <c r="C1133" s="86">
        <v>1</v>
      </c>
      <c r="D1133" s="86">
        <v>0</v>
      </c>
      <c r="E1133" s="86">
        <v>5</v>
      </c>
      <c r="F1133" s="86">
        <v>3</v>
      </c>
      <c r="G1133" s="86">
        <v>5</v>
      </c>
      <c r="H1133" s="86">
        <f t="shared" si="48"/>
        <v>14</v>
      </c>
    </row>
    <row r="1134" spans="1:8" x14ac:dyDescent="0.45">
      <c r="A1134" s="90" t="s">
        <v>16</v>
      </c>
      <c r="B1134" s="86">
        <v>0</v>
      </c>
      <c r="C1134" s="86">
        <v>0</v>
      </c>
      <c r="D1134" s="86">
        <v>0</v>
      </c>
      <c r="E1134" s="86">
        <v>0</v>
      </c>
      <c r="F1134" s="86">
        <v>0</v>
      </c>
      <c r="G1134" s="86">
        <v>0</v>
      </c>
      <c r="H1134" s="86">
        <f t="shared" si="48"/>
        <v>0</v>
      </c>
    </row>
    <row r="1135" spans="1:8" x14ac:dyDescent="0.45">
      <c r="A1135" s="90" t="s">
        <v>17</v>
      </c>
      <c r="B1135" s="86">
        <v>100</v>
      </c>
      <c r="C1135" s="86">
        <v>0</v>
      </c>
      <c r="D1135" s="86">
        <v>0</v>
      </c>
      <c r="E1135" s="86">
        <v>2</v>
      </c>
      <c r="F1135" s="86">
        <v>0</v>
      </c>
      <c r="G1135" s="86">
        <v>0</v>
      </c>
      <c r="H1135" s="86">
        <f>SUM(B1135:G1135)</f>
        <v>102</v>
      </c>
    </row>
    <row r="1136" spans="1:8" x14ac:dyDescent="0.45">
      <c r="A1136" s="90" t="s">
        <v>55</v>
      </c>
      <c r="B1136" s="86">
        <v>0</v>
      </c>
      <c r="C1136" s="86">
        <v>0</v>
      </c>
      <c r="D1136" s="86">
        <v>0</v>
      </c>
      <c r="E1136" s="86">
        <v>0</v>
      </c>
      <c r="F1136" s="86">
        <v>0</v>
      </c>
      <c r="G1136" s="86">
        <v>0</v>
      </c>
      <c r="H1136" s="86">
        <f>SUM(B1136:G1136)</f>
        <v>0</v>
      </c>
    </row>
    <row r="1137" spans="1:9" x14ac:dyDescent="0.45">
      <c r="A1137" s="90" t="s">
        <v>24</v>
      </c>
      <c r="B1137" s="86">
        <v>211</v>
      </c>
      <c r="C1137" s="86">
        <v>2625</v>
      </c>
      <c r="D1137" s="86">
        <v>3943</v>
      </c>
      <c r="E1137" s="86">
        <v>2931</v>
      </c>
      <c r="F1137" s="86">
        <v>449</v>
      </c>
      <c r="G1137" s="86">
        <v>106</v>
      </c>
      <c r="H1137" s="17">
        <f>SUM(H1105:H1136)</f>
        <v>10265</v>
      </c>
      <c r="I1137" s="17"/>
    </row>
    <row r="1140" spans="1:9" x14ac:dyDescent="0.45">
      <c r="A1140" s="1" t="s">
        <v>184</v>
      </c>
    </row>
    <row r="1141" spans="1:9" x14ac:dyDescent="0.45">
      <c r="A1141" s="1" t="s">
        <v>115</v>
      </c>
    </row>
    <row r="1143" spans="1:9" x14ac:dyDescent="0.45">
      <c r="B1143" t="s">
        <v>20</v>
      </c>
      <c r="C1143" t="s">
        <v>21</v>
      </c>
    </row>
    <row r="1144" spans="1:9" x14ac:dyDescent="0.45">
      <c r="A1144" s="34" t="s">
        <v>19</v>
      </c>
      <c r="B1144" s="91">
        <v>28</v>
      </c>
      <c r="C1144" s="91">
        <v>3</v>
      </c>
      <c r="D1144" s="91">
        <v>8</v>
      </c>
      <c r="E1144" s="91">
        <v>13</v>
      </c>
      <c r="F1144" s="91">
        <v>18</v>
      </c>
      <c r="G1144" s="91">
        <v>23</v>
      </c>
      <c r="H1144" s="22" t="s">
        <v>24</v>
      </c>
    </row>
    <row r="1145" spans="1:9" x14ac:dyDescent="0.45">
      <c r="A1145" s="90" t="s">
        <v>1</v>
      </c>
      <c r="B1145" s="86">
        <v>10</v>
      </c>
      <c r="C1145" s="86">
        <v>30</v>
      </c>
      <c r="D1145" s="86">
        <v>42</v>
      </c>
      <c r="E1145" s="86">
        <v>52</v>
      </c>
      <c r="F1145" s="86">
        <v>54</v>
      </c>
      <c r="G1145" s="86">
        <v>42</v>
      </c>
      <c r="H1145" s="86">
        <f>SUM(B1145:G1145)</f>
        <v>230</v>
      </c>
    </row>
    <row r="1146" spans="1:9" x14ac:dyDescent="0.45">
      <c r="A1146" s="90" t="s">
        <v>45</v>
      </c>
      <c r="B1146" s="86">
        <v>0</v>
      </c>
      <c r="C1146" s="86">
        <v>0</v>
      </c>
      <c r="D1146" s="86">
        <v>0</v>
      </c>
      <c r="E1146" s="86">
        <v>0</v>
      </c>
      <c r="F1146" s="86">
        <v>0</v>
      </c>
      <c r="G1146" s="86">
        <v>0</v>
      </c>
      <c r="H1146" s="86">
        <f t="shared" ref="H1146:H1176" si="49">SUM(B1146:G1146)</f>
        <v>0</v>
      </c>
    </row>
    <row r="1147" spans="1:9" x14ac:dyDescent="0.45">
      <c r="A1147" s="90" t="s">
        <v>41</v>
      </c>
      <c r="B1147" s="86">
        <v>2</v>
      </c>
      <c r="C1147" s="86">
        <v>4</v>
      </c>
      <c r="D1147" s="86">
        <v>1</v>
      </c>
      <c r="E1147" s="86">
        <v>4</v>
      </c>
      <c r="F1147" s="86">
        <v>1</v>
      </c>
      <c r="G1147" s="86">
        <v>0</v>
      </c>
      <c r="H1147" s="86">
        <f t="shared" si="49"/>
        <v>12</v>
      </c>
    </row>
    <row r="1148" spans="1:9" x14ac:dyDescent="0.45">
      <c r="A1148" s="90" t="s">
        <v>2</v>
      </c>
      <c r="B1148" s="86">
        <v>8</v>
      </c>
      <c r="C1148" s="86">
        <v>7</v>
      </c>
      <c r="D1148" s="86">
        <v>16</v>
      </c>
      <c r="E1148" s="86">
        <v>16</v>
      </c>
      <c r="F1148" s="86">
        <v>1</v>
      </c>
      <c r="G1148" s="86">
        <v>0</v>
      </c>
      <c r="H1148" s="86">
        <f t="shared" si="49"/>
        <v>48</v>
      </c>
    </row>
    <row r="1149" spans="1:9" x14ac:dyDescent="0.45">
      <c r="A1149" s="90" t="s">
        <v>43</v>
      </c>
      <c r="B1149" s="86">
        <v>0</v>
      </c>
      <c r="C1149" s="86">
        <v>0</v>
      </c>
      <c r="D1149" s="86">
        <v>0</v>
      </c>
      <c r="E1149" s="86">
        <v>0</v>
      </c>
      <c r="F1149" s="86">
        <v>0</v>
      </c>
      <c r="G1149" s="86">
        <v>0</v>
      </c>
      <c r="H1149" s="86">
        <f t="shared" si="49"/>
        <v>0</v>
      </c>
    </row>
    <row r="1150" spans="1:9" x14ac:dyDescent="0.45">
      <c r="A1150" s="90" t="s">
        <v>3</v>
      </c>
      <c r="B1150" s="86">
        <v>3</v>
      </c>
      <c r="C1150" s="86">
        <v>4</v>
      </c>
      <c r="D1150" s="86">
        <v>2</v>
      </c>
      <c r="E1150" s="86">
        <v>3</v>
      </c>
      <c r="F1150" s="86">
        <v>2</v>
      </c>
      <c r="G1150" s="86">
        <v>0</v>
      </c>
      <c r="H1150" s="86">
        <f t="shared" si="49"/>
        <v>14</v>
      </c>
    </row>
    <row r="1151" spans="1:9" x14ac:dyDescent="0.45">
      <c r="A1151" s="90" t="s">
        <v>4</v>
      </c>
      <c r="B1151" s="86">
        <v>0</v>
      </c>
      <c r="C1151" s="86">
        <v>0</v>
      </c>
      <c r="D1151" s="86">
        <v>0</v>
      </c>
      <c r="E1151" s="86">
        <v>0</v>
      </c>
      <c r="F1151" s="86">
        <v>0</v>
      </c>
      <c r="G1151" s="86">
        <v>0</v>
      </c>
      <c r="H1151" s="86">
        <f t="shared" si="49"/>
        <v>0</v>
      </c>
    </row>
    <row r="1152" spans="1:9" x14ac:dyDescent="0.45">
      <c r="A1152" s="90" t="s">
        <v>48</v>
      </c>
      <c r="B1152" s="86">
        <v>0</v>
      </c>
      <c r="C1152" s="86">
        <v>0</v>
      </c>
      <c r="D1152" s="86">
        <v>0</v>
      </c>
      <c r="E1152" s="86">
        <v>0</v>
      </c>
      <c r="F1152" s="86">
        <v>0</v>
      </c>
      <c r="G1152" s="86">
        <v>0</v>
      </c>
      <c r="H1152" s="86">
        <f t="shared" si="49"/>
        <v>0</v>
      </c>
    </row>
    <row r="1153" spans="1:8" x14ac:dyDescent="0.45">
      <c r="A1153" s="90" t="s">
        <v>7</v>
      </c>
      <c r="B1153" s="86">
        <v>0</v>
      </c>
      <c r="C1153" s="86">
        <v>41</v>
      </c>
      <c r="D1153" s="86">
        <v>0</v>
      </c>
      <c r="E1153" s="86">
        <v>10</v>
      </c>
      <c r="F1153" s="86">
        <v>0</v>
      </c>
      <c r="G1153" s="86">
        <v>0</v>
      </c>
      <c r="H1153" s="86">
        <f t="shared" si="49"/>
        <v>51</v>
      </c>
    </row>
    <row r="1154" spans="1:8" x14ac:dyDescent="0.45">
      <c r="A1154" s="90" t="s">
        <v>50</v>
      </c>
      <c r="B1154" s="86">
        <v>0</v>
      </c>
      <c r="C1154" s="86">
        <v>1</v>
      </c>
      <c r="D1154" s="86">
        <v>0</v>
      </c>
      <c r="E1154" s="86">
        <v>0</v>
      </c>
      <c r="F1154" s="86">
        <v>0</v>
      </c>
      <c r="G1154" s="86">
        <v>0</v>
      </c>
      <c r="H1154" s="86">
        <f t="shared" si="49"/>
        <v>1</v>
      </c>
    </row>
    <row r="1155" spans="1:8" x14ac:dyDescent="0.45">
      <c r="A1155" s="90" t="s">
        <v>51</v>
      </c>
      <c r="B1155" s="86">
        <v>0</v>
      </c>
      <c r="C1155" s="86">
        <v>0</v>
      </c>
      <c r="D1155" s="86">
        <v>0</v>
      </c>
      <c r="E1155" s="86">
        <v>0</v>
      </c>
      <c r="F1155" s="86">
        <v>0</v>
      </c>
      <c r="G1155" s="86">
        <v>0</v>
      </c>
      <c r="H1155" s="86">
        <f t="shared" si="49"/>
        <v>0</v>
      </c>
    </row>
    <row r="1156" spans="1:8" x14ac:dyDescent="0.45">
      <c r="A1156" s="90" t="s">
        <v>42</v>
      </c>
      <c r="B1156" s="86">
        <v>1</v>
      </c>
      <c r="C1156" s="86">
        <v>3</v>
      </c>
      <c r="D1156" s="86">
        <v>0</v>
      </c>
      <c r="E1156" s="86">
        <v>5</v>
      </c>
      <c r="F1156" s="86">
        <v>0</v>
      </c>
      <c r="G1156" s="86">
        <v>1</v>
      </c>
      <c r="H1156" s="86">
        <f t="shared" si="49"/>
        <v>10</v>
      </c>
    </row>
    <row r="1157" spans="1:8" x14ac:dyDescent="0.45">
      <c r="A1157" s="90" t="s">
        <v>8</v>
      </c>
      <c r="B1157" s="86">
        <v>0</v>
      </c>
      <c r="C1157" s="86">
        <v>4</v>
      </c>
      <c r="D1157" s="86">
        <v>20</v>
      </c>
      <c r="E1157" s="86">
        <v>14</v>
      </c>
      <c r="F1157" s="86">
        <v>16</v>
      </c>
      <c r="G1157" s="86">
        <v>0</v>
      </c>
      <c r="H1157" s="86">
        <f t="shared" si="49"/>
        <v>54</v>
      </c>
    </row>
    <row r="1158" spans="1:8" x14ac:dyDescent="0.45">
      <c r="A1158" s="90" t="s">
        <v>9</v>
      </c>
      <c r="B1158" s="86">
        <v>0</v>
      </c>
      <c r="C1158" s="86">
        <v>650</v>
      </c>
      <c r="D1158" s="86">
        <v>5</v>
      </c>
      <c r="E1158" s="86">
        <v>2</v>
      </c>
      <c r="F1158" s="86">
        <v>0</v>
      </c>
      <c r="G1158" s="86">
        <v>0</v>
      </c>
      <c r="H1158" s="86">
        <f t="shared" si="49"/>
        <v>657</v>
      </c>
    </row>
    <row r="1159" spans="1:8" x14ac:dyDescent="0.45">
      <c r="A1159" s="90" t="s">
        <v>44</v>
      </c>
      <c r="B1159" s="86">
        <v>0</v>
      </c>
      <c r="C1159" s="86">
        <v>2</v>
      </c>
      <c r="D1159" s="86">
        <v>1</v>
      </c>
      <c r="E1159" s="86">
        <v>0</v>
      </c>
      <c r="F1159" s="86">
        <v>1</v>
      </c>
      <c r="G1159" s="86">
        <v>3</v>
      </c>
      <c r="H1159" s="86">
        <f t="shared" si="49"/>
        <v>7</v>
      </c>
    </row>
    <row r="1160" spans="1:8" x14ac:dyDescent="0.45">
      <c r="A1160" s="90" t="s">
        <v>10</v>
      </c>
      <c r="B1160" s="86">
        <v>2</v>
      </c>
      <c r="C1160" s="86">
        <v>15</v>
      </c>
      <c r="D1160" s="86">
        <v>14</v>
      </c>
      <c r="E1160" s="86">
        <v>80</v>
      </c>
      <c r="F1160" s="86">
        <v>10</v>
      </c>
      <c r="G1160" s="86">
        <v>0</v>
      </c>
      <c r="H1160" s="86">
        <f t="shared" si="49"/>
        <v>121</v>
      </c>
    </row>
    <row r="1161" spans="1:8" x14ac:dyDescent="0.45">
      <c r="A1161" s="90" t="s">
        <v>11</v>
      </c>
      <c r="B1161" s="86">
        <v>50</v>
      </c>
      <c r="C1161" s="86">
        <v>1551</v>
      </c>
      <c r="D1161" s="86">
        <v>2785</v>
      </c>
      <c r="E1161" s="86">
        <v>2401</v>
      </c>
      <c r="F1161" s="86">
        <v>112</v>
      </c>
      <c r="G1161" s="86">
        <v>26</v>
      </c>
      <c r="H1161" s="86">
        <f t="shared" si="49"/>
        <v>6925</v>
      </c>
    </row>
    <row r="1162" spans="1:8" x14ac:dyDescent="0.45">
      <c r="A1162" s="90" t="s">
        <v>12</v>
      </c>
      <c r="B1162" s="86">
        <v>3</v>
      </c>
      <c r="C1162" s="86">
        <v>25</v>
      </c>
      <c r="D1162" s="86">
        <v>49</v>
      </c>
      <c r="E1162" s="86">
        <v>21</v>
      </c>
      <c r="F1162" s="86">
        <v>1</v>
      </c>
      <c r="G1162" s="86">
        <v>0</v>
      </c>
      <c r="H1162" s="86">
        <f t="shared" si="49"/>
        <v>99</v>
      </c>
    </row>
    <row r="1163" spans="1:8" x14ac:dyDescent="0.45">
      <c r="A1163" s="90" t="s">
        <v>32</v>
      </c>
      <c r="B1163" s="86">
        <v>0</v>
      </c>
      <c r="C1163" s="86">
        <v>4</v>
      </c>
      <c r="D1163" s="86">
        <v>0</v>
      </c>
      <c r="E1163" s="86">
        <v>0</v>
      </c>
      <c r="F1163" s="86">
        <v>5</v>
      </c>
      <c r="G1163" s="86">
        <v>0</v>
      </c>
      <c r="H1163" s="86">
        <f t="shared" si="49"/>
        <v>9</v>
      </c>
    </row>
    <row r="1164" spans="1:8" x14ac:dyDescent="0.45">
      <c r="A1164" s="90" t="s">
        <v>18</v>
      </c>
      <c r="B1164" s="86">
        <v>0</v>
      </c>
      <c r="C1164" s="86">
        <v>40</v>
      </c>
      <c r="D1164" s="86">
        <v>150</v>
      </c>
      <c r="E1164" s="86">
        <v>140</v>
      </c>
      <c r="F1164" s="86">
        <v>30</v>
      </c>
      <c r="G1164" s="86">
        <v>0</v>
      </c>
      <c r="H1164" s="86">
        <f t="shared" si="49"/>
        <v>360</v>
      </c>
    </row>
    <row r="1165" spans="1:8" x14ac:dyDescent="0.45">
      <c r="A1165" s="90" t="s">
        <v>46</v>
      </c>
      <c r="B1165" s="86">
        <v>0</v>
      </c>
      <c r="C1165" s="86">
        <v>0</v>
      </c>
      <c r="D1165" s="86">
        <v>0</v>
      </c>
      <c r="E1165" s="86">
        <v>0</v>
      </c>
      <c r="F1165" s="86">
        <v>0</v>
      </c>
      <c r="G1165" s="86">
        <v>0</v>
      </c>
      <c r="H1165" s="86">
        <f t="shared" si="49"/>
        <v>0</v>
      </c>
    </row>
    <row r="1166" spans="1:8" x14ac:dyDescent="0.45">
      <c r="A1166" s="90" t="s">
        <v>13</v>
      </c>
      <c r="B1166" s="86">
        <v>0</v>
      </c>
      <c r="C1166" s="86">
        <v>0</v>
      </c>
      <c r="D1166" s="86">
        <v>6</v>
      </c>
      <c r="E1166" s="86">
        <v>0</v>
      </c>
      <c r="F1166" s="86">
        <v>0</v>
      </c>
      <c r="G1166" s="86">
        <v>9</v>
      </c>
      <c r="H1166" s="86">
        <f t="shared" si="49"/>
        <v>15</v>
      </c>
    </row>
    <row r="1167" spans="1:8" x14ac:dyDescent="0.45">
      <c r="A1167" s="90" t="s">
        <v>14</v>
      </c>
      <c r="B1167" s="86">
        <v>9</v>
      </c>
      <c r="C1167" s="86">
        <v>133</v>
      </c>
      <c r="D1167" s="86">
        <v>223</v>
      </c>
      <c r="E1167" s="86">
        <v>110</v>
      </c>
      <c r="F1167" s="86">
        <v>19</v>
      </c>
      <c r="G1167" s="86">
        <v>0</v>
      </c>
      <c r="H1167" s="86">
        <f t="shared" si="49"/>
        <v>494</v>
      </c>
    </row>
    <row r="1168" spans="1:8" x14ac:dyDescent="0.45">
      <c r="A1168" s="90" t="s">
        <v>40</v>
      </c>
      <c r="B1168" s="86">
        <v>0</v>
      </c>
      <c r="C1168" s="86">
        <v>0</v>
      </c>
      <c r="D1168" s="86">
        <v>0</v>
      </c>
      <c r="E1168" s="86">
        <v>0</v>
      </c>
      <c r="F1168" s="86">
        <v>0</v>
      </c>
      <c r="G1168" s="86">
        <v>0</v>
      </c>
      <c r="H1168" s="86">
        <f t="shared" si="49"/>
        <v>0</v>
      </c>
    </row>
    <row r="1169" spans="1:8" x14ac:dyDescent="0.45">
      <c r="A1169" s="90" t="s">
        <v>52</v>
      </c>
      <c r="B1169" s="86">
        <v>0</v>
      </c>
      <c r="C1169" s="86">
        <v>0</v>
      </c>
      <c r="D1169" s="86">
        <v>0</v>
      </c>
      <c r="E1169" s="86">
        <v>0</v>
      </c>
      <c r="F1169" s="86">
        <v>0</v>
      </c>
      <c r="G1169" s="86">
        <v>0</v>
      </c>
      <c r="H1169" s="86">
        <f t="shared" si="49"/>
        <v>0</v>
      </c>
    </row>
    <row r="1170" spans="1:8" x14ac:dyDescent="0.45">
      <c r="A1170" s="90" t="s">
        <v>53</v>
      </c>
      <c r="B1170" s="86">
        <v>0</v>
      </c>
      <c r="C1170" s="86">
        <v>0</v>
      </c>
      <c r="D1170" s="86">
        <v>0</v>
      </c>
      <c r="E1170" s="86">
        <v>0</v>
      </c>
      <c r="F1170" s="86">
        <v>0</v>
      </c>
      <c r="G1170" s="86">
        <v>0</v>
      </c>
      <c r="H1170" s="86">
        <f t="shared" si="49"/>
        <v>0</v>
      </c>
    </row>
    <row r="1171" spans="1:8" x14ac:dyDescent="0.45">
      <c r="A1171" s="90" t="s">
        <v>15</v>
      </c>
      <c r="B1171" s="86">
        <v>0</v>
      </c>
      <c r="C1171" s="86">
        <v>6</v>
      </c>
      <c r="D1171" s="86">
        <v>32</v>
      </c>
      <c r="E1171" s="86">
        <v>0</v>
      </c>
      <c r="F1171" s="86">
        <v>0</v>
      </c>
      <c r="G1171" s="86">
        <v>0</v>
      </c>
      <c r="H1171" s="86">
        <f t="shared" si="49"/>
        <v>38</v>
      </c>
    </row>
    <row r="1172" spans="1:8" x14ac:dyDescent="0.45">
      <c r="A1172" s="90" t="s">
        <v>54</v>
      </c>
      <c r="B1172" s="86">
        <v>0</v>
      </c>
      <c r="C1172" s="86">
        <v>1</v>
      </c>
      <c r="D1172" s="86">
        <v>0</v>
      </c>
      <c r="E1172" s="86">
        <v>0</v>
      </c>
      <c r="F1172" s="86">
        <v>0</v>
      </c>
      <c r="G1172" s="86">
        <v>0</v>
      </c>
      <c r="H1172" s="86">
        <f t="shared" si="49"/>
        <v>1</v>
      </c>
    </row>
    <row r="1173" spans="1:8" x14ac:dyDescent="0.45">
      <c r="A1173" s="90" t="s">
        <v>47</v>
      </c>
      <c r="B1173" s="86">
        <v>0</v>
      </c>
      <c r="C1173" s="86">
        <v>1</v>
      </c>
      <c r="D1173" s="86">
        <v>0</v>
      </c>
      <c r="E1173" s="86">
        <v>5</v>
      </c>
      <c r="F1173" s="86">
        <v>0</v>
      </c>
      <c r="G1173" s="86">
        <v>5</v>
      </c>
      <c r="H1173" s="86">
        <f t="shared" si="49"/>
        <v>11</v>
      </c>
    </row>
    <row r="1174" spans="1:8" x14ac:dyDescent="0.45">
      <c r="A1174" s="90" t="s">
        <v>16</v>
      </c>
      <c r="B1174" s="86">
        <v>0</v>
      </c>
      <c r="C1174" s="86">
        <v>0</v>
      </c>
      <c r="D1174" s="86">
        <v>0</v>
      </c>
      <c r="E1174" s="86">
        <v>0</v>
      </c>
      <c r="F1174" s="86">
        <v>0</v>
      </c>
      <c r="G1174" s="86">
        <v>0</v>
      </c>
      <c r="H1174" s="86">
        <f t="shared" si="49"/>
        <v>0</v>
      </c>
    </row>
    <row r="1175" spans="1:8" x14ac:dyDescent="0.45">
      <c r="A1175" s="90" t="s">
        <v>17</v>
      </c>
      <c r="B1175" s="86">
        <v>0</v>
      </c>
      <c r="C1175" s="86">
        <v>0</v>
      </c>
      <c r="D1175" s="86">
        <v>0</v>
      </c>
      <c r="E1175" s="86">
        <v>0</v>
      </c>
      <c r="F1175" s="86">
        <v>0</v>
      </c>
      <c r="G1175" s="86">
        <v>0</v>
      </c>
      <c r="H1175" s="86">
        <f t="shared" si="49"/>
        <v>0</v>
      </c>
    </row>
    <row r="1176" spans="1:8" x14ac:dyDescent="0.45">
      <c r="A1176" s="90" t="s">
        <v>24</v>
      </c>
      <c r="B1176" s="86">
        <v>88</v>
      </c>
      <c r="C1176" s="86">
        <v>2522</v>
      </c>
      <c r="D1176" s="86">
        <v>3346</v>
      </c>
      <c r="E1176" s="86">
        <v>2863</v>
      </c>
      <c r="F1176" s="86">
        <v>252</v>
      </c>
      <c r="G1176" s="86">
        <v>86</v>
      </c>
      <c r="H1176" s="86">
        <f t="shared" si="49"/>
        <v>9157</v>
      </c>
    </row>
    <row r="1179" spans="1:8" x14ac:dyDescent="0.45">
      <c r="A1179" s="37" t="s">
        <v>214</v>
      </c>
      <c r="B1179" s="180"/>
      <c r="C1179" s="180"/>
    </row>
    <row r="1180" spans="1:8" x14ac:dyDescent="0.45">
      <c r="A1180" s="1" t="s">
        <v>113</v>
      </c>
      <c r="B1180" s="180"/>
      <c r="C1180" s="180"/>
    </row>
    <row r="1182" spans="1:8" x14ac:dyDescent="0.45">
      <c r="B1182" t="s">
        <v>20</v>
      </c>
      <c r="D1182" t="s">
        <v>21</v>
      </c>
    </row>
    <row r="1183" spans="1:8" x14ac:dyDescent="0.45">
      <c r="A1183" s="34" t="s">
        <v>19</v>
      </c>
      <c r="B1183" s="91">
        <v>24</v>
      </c>
      <c r="C1183" s="91">
        <v>29</v>
      </c>
      <c r="D1183" s="91">
        <v>4</v>
      </c>
      <c r="E1183" s="91">
        <v>9</v>
      </c>
      <c r="F1183" s="91">
        <v>14</v>
      </c>
      <c r="G1183" s="91">
        <v>19</v>
      </c>
      <c r="H1183" s="22" t="s">
        <v>24</v>
      </c>
    </row>
    <row r="1184" spans="1:8" x14ac:dyDescent="0.45">
      <c r="A1184" s="90" t="s">
        <v>1</v>
      </c>
      <c r="B1184" s="86">
        <v>0</v>
      </c>
      <c r="C1184" s="86">
        <v>0</v>
      </c>
      <c r="D1184" s="86">
        <v>5</v>
      </c>
      <c r="E1184" s="86">
        <v>111</v>
      </c>
      <c r="F1184" s="86">
        <v>111</v>
      </c>
      <c r="G1184" s="86">
        <v>45</v>
      </c>
      <c r="H1184" s="86">
        <f>SUM(B1184:G1184)</f>
        <v>272</v>
      </c>
    </row>
    <row r="1185" spans="1:8" x14ac:dyDescent="0.45">
      <c r="A1185" s="90" t="s">
        <v>45</v>
      </c>
      <c r="B1185" s="86">
        <v>0</v>
      </c>
      <c r="C1185" s="86">
        <v>0</v>
      </c>
      <c r="D1185" s="86">
        <v>0</v>
      </c>
      <c r="E1185" s="86">
        <v>0</v>
      </c>
      <c r="F1185" s="86">
        <v>0</v>
      </c>
      <c r="G1185" s="86">
        <v>0</v>
      </c>
      <c r="H1185" s="86">
        <f t="shared" ref="H1185:H1215" si="50">SUM(B1185:G1185)</f>
        <v>0</v>
      </c>
    </row>
    <row r="1186" spans="1:8" x14ac:dyDescent="0.45">
      <c r="A1186" s="90" t="s">
        <v>41</v>
      </c>
      <c r="B1186" s="86">
        <v>0</v>
      </c>
      <c r="C1186" s="86">
        <v>4</v>
      </c>
      <c r="D1186" s="86">
        <v>5</v>
      </c>
      <c r="E1186" s="86">
        <v>4</v>
      </c>
      <c r="F1186" s="86">
        <v>0</v>
      </c>
      <c r="G1186" s="86">
        <v>3</v>
      </c>
      <c r="H1186" s="86">
        <f t="shared" si="50"/>
        <v>16</v>
      </c>
    </row>
    <row r="1187" spans="1:8" x14ac:dyDescent="0.45">
      <c r="A1187" s="90" t="s">
        <v>2</v>
      </c>
      <c r="B1187" s="86">
        <v>5</v>
      </c>
      <c r="C1187" s="86">
        <v>43</v>
      </c>
      <c r="D1187" s="86">
        <v>28</v>
      </c>
      <c r="E1187" s="86">
        <v>41</v>
      </c>
      <c r="F1187" s="86">
        <v>13</v>
      </c>
      <c r="G1187" s="86">
        <v>2</v>
      </c>
      <c r="H1187" s="86">
        <f t="shared" si="50"/>
        <v>132</v>
      </c>
    </row>
    <row r="1188" spans="1:8" x14ac:dyDescent="0.45">
      <c r="A1188" s="90" t="s">
        <v>43</v>
      </c>
      <c r="B1188" s="86">
        <v>0</v>
      </c>
      <c r="C1188" s="86">
        <v>2</v>
      </c>
      <c r="D1188" s="86">
        <v>0</v>
      </c>
      <c r="E1188" s="86">
        <v>2</v>
      </c>
      <c r="F1188" s="86">
        <v>0</v>
      </c>
      <c r="G1188" s="86">
        <v>0</v>
      </c>
      <c r="H1188" s="86">
        <f t="shared" si="50"/>
        <v>4</v>
      </c>
    </row>
    <row r="1189" spans="1:8" x14ac:dyDescent="0.45">
      <c r="A1189" s="90" t="s">
        <v>3</v>
      </c>
      <c r="B1189" s="86">
        <v>0</v>
      </c>
      <c r="C1189" s="86">
        <v>19</v>
      </c>
      <c r="D1189" s="86">
        <v>7</v>
      </c>
      <c r="E1189" s="86">
        <v>13</v>
      </c>
      <c r="F1189" s="86">
        <v>3</v>
      </c>
      <c r="G1189" s="86">
        <v>6</v>
      </c>
      <c r="H1189" s="86">
        <f t="shared" si="50"/>
        <v>48</v>
      </c>
    </row>
    <row r="1190" spans="1:8" x14ac:dyDescent="0.45">
      <c r="A1190" s="90" t="s">
        <v>4</v>
      </c>
      <c r="B1190" s="86">
        <v>0</v>
      </c>
      <c r="C1190" s="86">
        <v>3</v>
      </c>
      <c r="D1190" s="86">
        <v>2</v>
      </c>
      <c r="E1190" s="86">
        <v>8</v>
      </c>
      <c r="F1190" s="86">
        <v>0</v>
      </c>
      <c r="G1190" s="86">
        <v>0</v>
      </c>
      <c r="H1190" s="86">
        <f t="shared" si="50"/>
        <v>13</v>
      </c>
    </row>
    <row r="1191" spans="1:8" x14ac:dyDescent="0.45">
      <c r="A1191" s="90" t="s">
        <v>48</v>
      </c>
      <c r="B1191" s="86">
        <v>0</v>
      </c>
      <c r="C1191" s="86">
        <v>0</v>
      </c>
      <c r="D1191" s="86">
        <v>0</v>
      </c>
      <c r="E1191" s="86">
        <v>1</v>
      </c>
      <c r="F1191" s="86">
        <v>0</v>
      </c>
      <c r="G1191" s="86">
        <v>0</v>
      </c>
      <c r="H1191" s="86">
        <f t="shared" si="50"/>
        <v>1</v>
      </c>
    </row>
    <row r="1192" spans="1:8" x14ac:dyDescent="0.45">
      <c r="A1192" s="90" t="s">
        <v>7</v>
      </c>
      <c r="B1192" s="86">
        <v>0</v>
      </c>
      <c r="C1192" s="86">
        <v>0</v>
      </c>
      <c r="D1192" s="86">
        <v>3</v>
      </c>
      <c r="E1192" s="86">
        <v>19</v>
      </c>
      <c r="F1192" s="86">
        <v>0</v>
      </c>
      <c r="G1192" s="86">
        <v>0</v>
      </c>
      <c r="H1192" s="86">
        <f t="shared" si="50"/>
        <v>22</v>
      </c>
    </row>
    <row r="1193" spans="1:8" x14ac:dyDescent="0.45">
      <c r="A1193" s="90" t="s">
        <v>50</v>
      </c>
      <c r="B1193" s="86">
        <v>0</v>
      </c>
      <c r="C1193" s="86">
        <v>1</v>
      </c>
      <c r="D1193" s="86">
        <v>0</v>
      </c>
      <c r="E1193" s="86">
        <v>0</v>
      </c>
      <c r="F1193" s="86">
        <v>0</v>
      </c>
      <c r="G1193" s="86">
        <v>0</v>
      </c>
      <c r="H1193" s="86">
        <f t="shared" si="50"/>
        <v>1</v>
      </c>
    </row>
    <row r="1194" spans="1:8" x14ac:dyDescent="0.45">
      <c r="A1194" s="90" t="s">
        <v>51</v>
      </c>
      <c r="B1194" s="86">
        <v>0</v>
      </c>
      <c r="C1194" s="86">
        <v>0</v>
      </c>
      <c r="D1194" s="86">
        <v>3</v>
      </c>
      <c r="E1194" s="86">
        <v>0</v>
      </c>
      <c r="F1194" s="86">
        <v>0</v>
      </c>
      <c r="G1194" s="86">
        <v>0</v>
      </c>
      <c r="H1194" s="86">
        <f t="shared" si="50"/>
        <v>3</v>
      </c>
    </row>
    <row r="1195" spans="1:8" x14ac:dyDescent="0.45">
      <c r="A1195" s="90" t="s">
        <v>42</v>
      </c>
      <c r="B1195" s="86">
        <v>0</v>
      </c>
      <c r="C1195" s="86">
        <v>1</v>
      </c>
      <c r="D1195" s="86">
        <v>1</v>
      </c>
      <c r="E1195" s="86">
        <v>26</v>
      </c>
      <c r="F1195" s="86">
        <v>1</v>
      </c>
      <c r="G1195" s="86">
        <v>0</v>
      </c>
      <c r="H1195" s="86">
        <f t="shared" si="50"/>
        <v>29</v>
      </c>
    </row>
    <row r="1196" spans="1:8" x14ac:dyDescent="0.45">
      <c r="A1196" s="90" t="s">
        <v>8</v>
      </c>
      <c r="B1196" s="86">
        <v>0</v>
      </c>
      <c r="C1196" s="86">
        <v>0</v>
      </c>
      <c r="D1196" s="86">
        <v>0</v>
      </c>
      <c r="E1196" s="86">
        <v>9</v>
      </c>
      <c r="F1196" s="86">
        <v>28</v>
      </c>
      <c r="G1196" s="86">
        <v>16</v>
      </c>
      <c r="H1196" s="86">
        <f t="shared" si="50"/>
        <v>53</v>
      </c>
    </row>
    <row r="1197" spans="1:8" x14ac:dyDescent="0.45">
      <c r="A1197" s="90" t="s">
        <v>9</v>
      </c>
      <c r="B1197" s="86">
        <v>0</v>
      </c>
      <c r="C1197" s="86">
        <v>48</v>
      </c>
      <c r="D1197" s="86">
        <v>175</v>
      </c>
      <c r="E1197" s="86">
        <v>79</v>
      </c>
      <c r="F1197" s="86">
        <v>15</v>
      </c>
      <c r="G1197" s="86">
        <v>298</v>
      </c>
      <c r="H1197" s="86">
        <f t="shared" si="50"/>
        <v>615</v>
      </c>
    </row>
    <row r="1198" spans="1:8" x14ac:dyDescent="0.45">
      <c r="A1198" s="90" t="s">
        <v>44</v>
      </c>
      <c r="B1198" s="86">
        <v>0</v>
      </c>
      <c r="C1198" s="86">
        <v>0</v>
      </c>
      <c r="D1198" s="86">
        <v>0</v>
      </c>
      <c r="E1198" s="86">
        <v>0</v>
      </c>
      <c r="F1198" s="86">
        <v>2</v>
      </c>
      <c r="G1198" s="86">
        <v>1</v>
      </c>
      <c r="H1198" s="86">
        <f t="shared" si="50"/>
        <v>3</v>
      </c>
    </row>
    <row r="1199" spans="1:8" x14ac:dyDescent="0.45">
      <c r="A1199" s="90" t="s">
        <v>10</v>
      </c>
      <c r="B1199" s="86">
        <v>0</v>
      </c>
      <c r="C1199" s="86">
        <v>4</v>
      </c>
      <c r="D1199" s="86">
        <v>32</v>
      </c>
      <c r="E1199" s="86">
        <v>49</v>
      </c>
      <c r="F1199" s="86">
        <v>1</v>
      </c>
      <c r="G1199" s="86">
        <v>6</v>
      </c>
      <c r="H1199" s="86">
        <f t="shared" si="50"/>
        <v>92</v>
      </c>
    </row>
    <row r="1200" spans="1:8" x14ac:dyDescent="0.45">
      <c r="A1200" s="90" t="s">
        <v>11</v>
      </c>
      <c r="B1200" s="86">
        <v>0</v>
      </c>
      <c r="C1200" s="86">
        <v>0</v>
      </c>
      <c r="D1200" s="86">
        <v>186</v>
      </c>
      <c r="E1200" s="86">
        <v>6094</v>
      </c>
      <c r="F1200" s="86">
        <v>7611</v>
      </c>
      <c r="G1200" s="86">
        <v>585</v>
      </c>
      <c r="H1200" s="86">
        <f t="shared" si="50"/>
        <v>14476</v>
      </c>
    </row>
    <row r="1201" spans="1:8" x14ac:dyDescent="0.45">
      <c r="A1201" s="90" t="s">
        <v>12</v>
      </c>
      <c r="B1201" s="86">
        <v>0</v>
      </c>
      <c r="C1201" s="86">
        <v>0</v>
      </c>
      <c r="D1201" s="86">
        <v>0</v>
      </c>
      <c r="E1201" s="86">
        <v>96</v>
      </c>
      <c r="F1201" s="86">
        <v>53</v>
      </c>
      <c r="G1201" s="86">
        <v>13</v>
      </c>
      <c r="H1201" s="86">
        <f t="shared" si="50"/>
        <v>162</v>
      </c>
    </row>
    <row r="1202" spans="1:8" x14ac:dyDescent="0.45">
      <c r="A1202" s="90" t="s">
        <v>32</v>
      </c>
      <c r="B1202" s="86">
        <v>0</v>
      </c>
      <c r="C1202" s="86">
        <v>0</v>
      </c>
      <c r="D1202" s="86">
        <v>0</v>
      </c>
      <c r="E1202" s="86">
        <v>3</v>
      </c>
      <c r="F1202" s="86">
        <v>5</v>
      </c>
      <c r="G1202" s="86">
        <v>2</v>
      </c>
      <c r="H1202" s="86">
        <f t="shared" si="50"/>
        <v>10</v>
      </c>
    </row>
    <row r="1203" spans="1:8" x14ac:dyDescent="0.45">
      <c r="A1203" s="90" t="s">
        <v>18</v>
      </c>
      <c r="B1203" s="86">
        <v>0</v>
      </c>
      <c r="C1203" s="86">
        <v>1</v>
      </c>
      <c r="D1203" s="86">
        <v>13</v>
      </c>
      <c r="E1203" s="86">
        <v>93</v>
      </c>
      <c r="F1203" s="86">
        <v>73</v>
      </c>
      <c r="G1203" s="86">
        <v>220</v>
      </c>
      <c r="H1203" s="86">
        <f t="shared" si="50"/>
        <v>400</v>
      </c>
    </row>
    <row r="1204" spans="1:8" x14ac:dyDescent="0.45">
      <c r="A1204" s="90" t="s">
        <v>46</v>
      </c>
      <c r="B1204" s="86">
        <v>0</v>
      </c>
      <c r="C1204" s="86">
        <v>1</v>
      </c>
      <c r="D1204" s="86">
        <v>0</v>
      </c>
      <c r="E1204" s="86">
        <v>0</v>
      </c>
      <c r="F1204" s="86">
        <v>0</v>
      </c>
      <c r="G1204" s="86">
        <v>0</v>
      </c>
      <c r="H1204" s="86">
        <f t="shared" si="50"/>
        <v>1</v>
      </c>
    </row>
    <row r="1205" spans="1:8" x14ac:dyDescent="0.45">
      <c r="A1205" s="90" t="s">
        <v>13</v>
      </c>
      <c r="B1205" s="86">
        <v>0</v>
      </c>
      <c r="C1205" s="86">
        <v>0</v>
      </c>
      <c r="D1205" s="86">
        <v>0</v>
      </c>
      <c r="E1205" s="86">
        <v>1</v>
      </c>
      <c r="F1205" s="86">
        <v>2</v>
      </c>
      <c r="G1205" s="86">
        <v>8</v>
      </c>
      <c r="H1205" s="86">
        <f t="shared" si="50"/>
        <v>11</v>
      </c>
    </row>
    <row r="1206" spans="1:8" x14ac:dyDescent="0.45">
      <c r="A1206" s="90" t="s">
        <v>14</v>
      </c>
      <c r="B1206" s="86">
        <v>3</v>
      </c>
      <c r="C1206" s="86">
        <v>0</v>
      </c>
      <c r="D1206" s="86">
        <v>7</v>
      </c>
      <c r="E1206" s="86">
        <v>460</v>
      </c>
      <c r="F1206" s="86">
        <v>431</v>
      </c>
      <c r="G1206" s="86">
        <v>25</v>
      </c>
      <c r="H1206" s="86">
        <f t="shared" si="50"/>
        <v>926</v>
      </c>
    </row>
    <row r="1207" spans="1:8" x14ac:dyDescent="0.45">
      <c r="A1207" s="90" t="s">
        <v>40</v>
      </c>
      <c r="B1207" s="86">
        <v>0</v>
      </c>
      <c r="C1207" s="86">
        <v>0</v>
      </c>
      <c r="D1207" s="86">
        <v>0</v>
      </c>
      <c r="E1207" s="86">
        <v>4</v>
      </c>
      <c r="F1207" s="86">
        <v>1</v>
      </c>
      <c r="G1207" s="86">
        <v>1</v>
      </c>
      <c r="H1207" s="86">
        <f t="shared" si="50"/>
        <v>6</v>
      </c>
    </row>
    <row r="1208" spans="1:8" x14ac:dyDescent="0.45">
      <c r="A1208" s="90" t="s">
        <v>52</v>
      </c>
      <c r="B1208" s="86">
        <v>0</v>
      </c>
      <c r="C1208" s="86">
        <v>0</v>
      </c>
      <c r="D1208" s="86">
        <v>0</v>
      </c>
      <c r="E1208" s="86">
        <v>0</v>
      </c>
      <c r="F1208" s="86">
        <v>0</v>
      </c>
      <c r="G1208" s="86">
        <v>0</v>
      </c>
      <c r="H1208" s="86">
        <f t="shared" si="50"/>
        <v>0</v>
      </c>
    </row>
    <row r="1209" spans="1:8" x14ac:dyDescent="0.45">
      <c r="A1209" s="90" t="s">
        <v>53</v>
      </c>
      <c r="B1209" s="86">
        <v>0</v>
      </c>
      <c r="C1209" s="86">
        <v>0</v>
      </c>
      <c r="D1209" s="86">
        <v>0</v>
      </c>
      <c r="E1209" s="86">
        <v>0</v>
      </c>
      <c r="F1209" s="86">
        <v>0</v>
      </c>
      <c r="G1209" s="86">
        <v>0</v>
      </c>
      <c r="H1209" s="86">
        <f t="shared" si="50"/>
        <v>0</v>
      </c>
    </row>
    <row r="1210" spans="1:8" x14ac:dyDescent="0.45">
      <c r="A1210" s="90" t="s">
        <v>15</v>
      </c>
      <c r="B1210" s="86">
        <v>0</v>
      </c>
      <c r="C1210" s="86">
        <v>0</v>
      </c>
      <c r="D1210" s="86">
        <v>0</v>
      </c>
      <c r="E1210" s="86">
        <v>16</v>
      </c>
      <c r="F1210" s="86">
        <v>0</v>
      </c>
      <c r="G1210" s="86">
        <v>8</v>
      </c>
      <c r="H1210" s="86">
        <f t="shared" si="50"/>
        <v>24</v>
      </c>
    </row>
    <row r="1211" spans="1:8" x14ac:dyDescent="0.45">
      <c r="A1211" s="90" t="s">
        <v>54</v>
      </c>
      <c r="B1211" s="86">
        <v>0</v>
      </c>
      <c r="C1211" s="86">
        <v>0</v>
      </c>
      <c r="D1211" s="86">
        <v>0</v>
      </c>
      <c r="E1211" s="86">
        <v>7</v>
      </c>
      <c r="F1211" s="86">
        <v>0</v>
      </c>
      <c r="G1211" s="86">
        <v>0</v>
      </c>
      <c r="H1211" s="86">
        <f t="shared" si="50"/>
        <v>7</v>
      </c>
    </row>
    <row r="1212" spans="1:8" x14ac:dyDescent="0.45">
      <c r="A1212" s="90" t="s">
        <v>47</v>
      </c>
      <c r="B1212" s="86">
        <v>0</v>
      </c>
      <c r="C1212" s="86">
        <v>2</v>
      </c>
      <c r="D1212" s="86">
        <v>36</v>
      </c>
      <c r="E1212" s="86">
        <v>41</v>
      </c>
      <c r="F1212" s="86">
        <v>44</v>
      </c>
      <c r="G1212" s="86">
        <v>16</v>
      </c>
      <c r="H1212" s="86">
        <f t="shared" si="50"/>
        <v>139</v>
      </c>
    </row>
    <row r="1213" spans="1:8" x14ac:dyDescent="0.45">
      <c r="A1213" s="90" t="s">
        <v>16</v>
      </c>
      <c r="B1213" s="86">
        <v>0</v>
      </c>
      <c r="C1213" s="86">
        <v>0</v>
      </c>
      <c r="D1213" s="86">
        <v>0</v>
      </c>
      <c r="E1213" s="86">
        <v>0</v>
      </c>
      <c r="F1213" s="86">
        <v>0</v>
      </c>
      <c r="G1213" s="86">
        <v>0</v>
      </c>
      <c r="H1213" s="86">
        <f t="shared" si="50"/>
        <v>0</v>
      </c>
    </row>
    <row r="1214" spans="1:8" x14ac:dyDescent="0.45">
      <c r="A1214" s="90" t="s">
        <v>55</v>
      </c>
      <c r="B1214" s="86">
        <v>0</v>
      </c>
      <c r="C1214" s="86">
        <v>0</v>
      </c>
      <c r="D1214" s="86">
        <v>0</v>
      </c>
      <c r="E1214" s="86">
        <v>0</v>
      </c>
      <c r="F1214" s="86">
        <v>0</v>
      </c>
      <c r="G1214" s="86">
        <v>0</v>
      </c>
      <c r="H1214" s="86">
        <f t="shared" si="50"/>
        <v>0</v>
      </c>
    </row>
    <row r="1215" spans="1:8" x14ac:dyDescent="0.45">
      <c r="A1215" s="90" t="s">
        <v>17</v>
      </c>
      <c r="B1215" s="86">
        <v>0</v>
      </c>
      <c r="C1215" s="86">
        <v>0</v>
      </c>
      <c r="D1215" s="86">
        <v>0</v>
      </c>
      <c r="E1215" s="86">
        <v>1000</v>
      </c>
      <c r="F1215" s="86">
        <v>0</v>
      </c>
      <c r="G1215" s="86">
        <v>0</v>
      </c>
      <c r="H1215" s="86">
        <f t="shared" si="50"/>
        <v>1000</v>
      </c>
    </row>
    <row r="1216" spans="1:8" x14ac:dyDescent="0.45">
      <c r="A1216" s="90" t="s">
        <v>151</v>
      </c>
      <c r="B1216" s="180"/>
      <c r="H1216" s="213">
        <v>0</v>
      </c>
    </row>
    <row r="1217" spans="1:8" x14ac:dyDescent="0.45">
      <c r="A1217" s="90" t="s">
        <v>24</v>
      </c>
      <c r="B1217" s="86">
        <v>8</v>
      </c>
      <c r="C1217" s="86">
        <v>129</v>
      </c>
      <c r="D1217" s="86">
        <v>503</v>
      </c>
      <c r="E1217" s="86">
        <v>8177</v>
      </c>
      <c r="F1217" s="86">
        <v>8394</v>
      </c>
      <c r="G1217" s="86">
        <v>1255</v>
      </c>
      <c r="H1217" s="86">
        <f>SUM(B1217:G1217)</f>
        <v>18466</v>
      </c>
    </row>
    <row r="1220" spans="1:8" x14ac:dyDescent="0.45">
      <c r="A1220" s="1" t="s">
        <v>198</v>
      </c>
    </row>
    <row r="1221" spans="1:8" x14ac:dyDescent="0.45">
      <c r="A1221" s="1" t="s">
        <v>115</v>
      </c>
    </row>
    <row r="1222" spans="1:8" x14ac:dyDescent="0.45">
      <c r="C1222" t="s">
        <v>166</v>
      </c>
    </row>
    <row r="1223" spans="1:8" x14ac:dyDescent="0.45">
      <c r="B1223" t="s">
        <v>20</v>
      </c>
      <c r="D1223" t="s">
        <v>21</v>
      </c>
    </row>
    <row r="1224" spans="1:8" x14ac:dyDescent="0.45">
      <c r="A1224" s="34" t="s">
        <v>19</v>
      </c>
      <c r="B1224" s="91">
        <v>24</v>
      </c>
      <c r="C1224" s="91">
        <v>29</v>
      </c>
      <c r="D1224" s="91">
        <v>4</v>
      </c>
      <c r="E1224" s="91">
        <v>9</v>
      </c>
      <c r="F1224" s="91">
        <v>14</v>
      </c>
      <c r="G1224" s="91">
        <v>19</v>
      </c>
      <c r="H1224" s="22" t="s">
        <v>24</v>
      </c>
    </row>
    <row r="1225" spans="1:8" x14ac:dyDescent="0.45">
      <c r="A1225" s="90" t="s">
        <v>1</v>
      </c>
      <c r="B1225" s="86">
        <v>0</v>
      </c>
      <c r="C1225" s="86">
        <v>0</v>
      </c>
      <c r="D1225" s="86">
        <v>5</v>
      </c>
      <c r="E1225" s="86">
        <v>99</v>
      </c>
      <c r="F1225" s="86">
        <v>109</v>
      </c>
      <c r="G1225" s="86">
        <v>44</v>
      </c>
      <c r="H1225" s="86">
        <f>SUM(B1225:G1225)</f>
        <v>257</v>
      </c>
    </row>
    <row r="1226" spans="1:8" x14ac:dyDescent="0.45">
      <c r="A1226" s="90" t="s">
        <v>45</v>
      </c>
      <c r="B1226" s="86">
        <v>0</v>
      </c>
      <c r="C1226" s="86">
        <v>0</v>
      </c>
      <c r="D1226" s="86">
        <v>0</v>
      </c>
      <c r="E1226" s="86">
        <v>0</v>
      </c>
      <c r="F1226" s="86">
        <v>0</v>
      </c>
      <c r="G1226" s="86">
        <v>0</v>
      </c>
      <c r="H1226" s="86">
        <f t="shared" ref="H1226:H1256" si="51">SUM(B1226:G1226)</f>
        <v>0</v>
      </c>
    </row>
    <row r="1227" spans="1:8" x14ac:dyDescent="0.45">
      <c r="A1227" s="90" t="s">
        <v>41</v>
      </c>
      <c r="B1227" s="86">
        <v>0</v>
      </c>
      <c r="C1227" s="86">
        <v>4</v>
      </c>
      <c r="D1227" s="86">
        <v>5</v>
      </c>
      <c r="E1227" s="86">
        <v>4</v>
      </c>
      <c r="F1227" s="86">
        <v>0</v>
      </c>
      <c r="G1227" s="86">
        <v>3</v>
      </c>
      <c r="H1227" s="86">
        <f t="shared" si="51"/>
        <v>16</v>
      </c>
    </row>
    <row r="1228" spans="1:8" x14ac:dyDescent="0.45">
      <c r="A1228" s="90" t="s">
        <v>2</v>
      </c>
      <c r="B1228" s="86">
        <v>3</v>
      </c>
      <c r="C1228" s="86">
        <v>43</v>
      </c>
      <c r="D1228" s="86">
        <v>28</v>
      </c>
      <c r="E1228" s="86">
        <v>41</v>
      </c>
      <c r="F1228" s="86">
        <v>13</v>
      </c>
      <c r="G1228" s="86">
        <v>1</v>
      </c>
      <c r="H1228" s="86">
        <f t="shared" si="51"/>
        <v>129</v>
      </c>
    </row>
    <row r="1229" spans="1:8" x14ac:dyDescent="0.45">
      <c r="A1229" s="90" t="s">
        <v>43</v>
      </c>
      <c r="B1229" s="86">
        <v>0</v>
      </c>
      <c r="C1229" s="86">
        <v>0</v>
      </c>
      <c r="D1229" s="86">
        <v>0</v>
      </c>
      <c r="E1229" s="86">
        <v>0</v>
      </c>
      <c r="F1229" s="86">
        <v>0</v>
      </c>
      <c r="G1229" s="86">
        <v>0</v>
      </c>
      <c r="H1229" s="86">
        <f t="shared" si="51"/>
        <v>0</v>
      </c>
    </row>
    <row r="1230" spans="1:8" x14ac:dyDescent="0.45">
      <c r="A1230" s="90" t="s">
        <v>3</v>
      </c>
      <c r="B1230" s="86">
        <v>0</v>
      </c>
      <c r="C1230" s="86">
        <v>13</v>
      </c>
      <c r="D1230" s="86">
        <v>1</v>
      </c>
      <c r="E1230" s="86">
        <v>1</v>
      </c>
      <c r="F1230" s="86">
        <v>2</v>
      </c>
      <c r="G1230" s="86">
        <v>2</v>
      </c>
      <c r="H1230" s="86">
        <f t="shared" si="51"/>
        <v>19</v>
      </c>
    </row>
    <row r="1231" spans="1:8" x14ac:dyDescent="0.45">
      <c r="A1231" s="90" t="s">
        <v>4</v>
      </c>
      <c r="B1231" s="86">
        <v>0</v>
      </c>
      <c r="C1231" s="86">
        <v>2</v>
      </c>
      <c r="D1231" s="86">
        <v>2</v>
      </c>
      <c r="E1231" s="86">
        <v>2</v>
      </c>
      <c r="F1231" s="86">
        <v>0</v>
      </c>
      <c r="G1231" s="86">
        <v>0</v>
      </c>
      <c r="H1231" s="86">
        <f t="shared" si="51"/>
        <v>6</v>
      </c>
    </row>
    <row r="1232" spans="1:8" x14ac:dyDescent="0.45">
      <c r="A1232" s="90" t="s">
        <v>48</v>
      </c>
      <c r="B1232" s="86">
        <v>0</v>
      </c>
      <c r="C1232" s="86">
        <v>0</v>
      </c>
      <c r="D1232" s="86">
        <v>0</v>
      </c>
      <c r="E1232" s="86">
        <v>1</v>
      </c>
      <c r="F1232" s="86">
        <v>0</v>
      </c>
      <c r="G1232" s="86">
        <v>0</v>
      </c>
      <c r="H1232" s="86">
        <f t="shared" si="51"/>
        <v>1</v>
      </c>
    </row>
    <row r="1233" spans="1:8" x14ac:dyDescent="0.45">
      <c r="A1233" s="90" t="s">
        <v>7</v>
      </c>
      <c r="B1233" s="86">
        <v>0</v>
      </c>
      <c r="C1233" s="86">
        <v>0</v>
      </c>
      <c r="D1233" s="86">
        <v>3</v>
      </c>
      <c r="E1233" s="86">
        <v>17</v>
      </c>
      <c r="F1233" s="86">
        <v>0</v>
      </c>
      <c r="G1233" s="86">
        <v>0</v>
      </c>
      <c r="H1233" s="86">
        <f t="shared" si="51"/>
        <v>20</v>
      </c>
    </row>
    <row r="1234" spans="1:8" x14ac:dyDescent="0.45">
      <c r="A1234" s="90" t="s">
        <v>50</v>
      </c>
      <c r="B1234" s="86">
        <v>0</v>
      </c>
      <c r="C1234" s="86">
        <v>0</v>
      </c>
      <c r="D1234" s="86">
        <v>0</v>
      </c>
      <c r="E1234" s="86">
        <v>0</v>
      </c>
      <c r="F1234" s="86">
        <v>0</v>
      </c>
      <c r="G1234" s="86">
        <v>0</v>
      </c>
      <c r="H1234" s="86">
        <f t="shared" si="51"/>
        <v>0</v>
      </c>
    </row>
    <row r="1235" spans="1:8" x14ac:dyDescent="0.45">
      <c r="A1235" s="90" t="s">
        <v>51</v>
      </c>
      <c r="B1235" s="86">
        <v>0</v>
      </c>
      <c r="C1235" s="86">
        <v>0</v>
      </c>
      <c r="D1235" s="86">
        <v>0</v>
      </c>
      <c r="E1235" s="86">
        <v>0</v>
      </c>
      <c r="F1235" s="86">
        <v>0</v>
      </c>
      <c r="G1235" s="86">
        <v>0</v>
      </c>
      <c r="H1235" s="86">
        <f t="shared" si="51"/>
        <v>0</v>
      </c>
    </row>
    <row r="1236" spans="1:8" x14ac:dyDescent="0.45">
      <c r="A1236" s="90" t="s">
        <v>42</v>
      </c>
      <c r="B1236" s="86">
        <v>0</v>
      </c>
      <c r="C1236" s="86">
        <v>0</v>
      </c>
      <c r="D1236" s="86">
        <v>1</v>
      </c>
      <c r="E1236" s="86">
        <v>17</v>
      </c>
      <c r="F1236" s="86">
        <v>1</v>
      </c>
      <c r="G1236" s="86">
        <v>0</v>
      </c>
      <c r="H1236" s="86">
        <f t="shared" si="51"/>
        <v>19</v>
      </c>
    </row>
    <row r="1237" spans="1:8" x14ac:dyDescent="0.45">
      <c r="A1237" s="90" t="s">
        <v>8</v>
      </c>
      <c r="B1237" s="86">
        <v>0</v>
      </c>
      <c r="C1237" s="86">
        <v>0</v>
      </c>
      <c r="D1237" s="86">
        <v>0</v>
      </c>
      <c r="E1237" s="86">
        <v>9</v>
      </c>
      <c r="F1237" s="86">
        <v>28</v>
      </c>
      <c r="G1237" s="86">
        <v>16</v>
      </c>
      <c r="H1237" s="86">
        <f t="shared" si="51"/>
        <v>53</v>
      </c>
    </row>
    <row r="1238" spans="1:8" x14ac:dyDescent="0.45">
      <c r="A1238" s="90" t="s">
        <v>9</v>
      </c>
      <c r="B1238" s="86">
        <v>0</v>
      </c>
      <c r="C1238" s="86">
        <v>0</v>
      </c>
      <c r="D1238" s="86">
        <v>175</v>
      </c>
      <c r="E1238" s="86">
        <v>11</v>
      </c>
      <c r="F1238" s="86">
        <v>15</v>
      </c>
      <c r="G1238" s="86">
        <v>198</v>
      </c>
      <c r="H1238" s="86">
        <f t="shared" si="51"/>
        <v>399</v>
      </c>
    </row>
    <row r="1239" spans="1:8" x14ac:dyDescent="0.45">
      <c r="A1239" s="90" t="s">
        <v>44</v>
      </c>
      <c r="B1239" s="86">
        <v>0</v>
      </c>
      <c r="C1239" s="86">
        <v>0</v>
      </c>
      <c r="D1239" s="86">
        <v>0</v>
      </c>
      <c r="E1239" s="86">
        <v>0</v>
      </c>
      <c r="F1239" s="86">
        <v>2</v>
      </c>
      <c r="G1239" s="86">
        <v>0</v>
      </c>
      <c r="H1239" s="86">
        <f t="shared" si="51"/>
        <v>2</v>
      </c>
    </row>
    <row r="1240" spans="1:8" x14ac:dyDescent="0.45">
      <c r="A1240" s="90" t="s">
        <v>10</v>
      </c>
      <c r="B1240" s="86">
        <v>0</v>
      </c>
      <c r="C1240" s="86">
        <v>0</v>
      </c>
      <c r="D1240" s="86">
        <v>32</v>
      </c>
      <c r="E1240" s="86">
        <v>19</v>
      </c>
      <c r="F1240" s="86">
        <v>1</v>
      </c>
      <c r="G1240" s="86">
        <v>3</v>
      </c>
      <c r="H1240" s="86">
        <f t="shared" si="51"/>
        <v>55</v>
      </c>
    </row>
    <row r="1241" spans="1:8" x14ac:dyDescent="0.45">
      <c r="A1241" s="90" t="s">
        <v>11</v>
      </c>
      <c r="B1241" s="86">
        <v>0</v>
      </c>
      <c r="C1241" s="86">
        <v>0</v>
      </c>
      <c r="D1241" s="86">
        <v>136</v>
      </c>
      <c r="E1241" s="86">
        <v>5594</v>
      </c>
      <c r="F1241" s="86">
        <v>7311</v>
      </c>
      <c r="G1241" s="86">
        <v>465</v>
      </c>
      <c r="H1241" s="86">
        <f t="shared" si="51"/>
        <v>13506</v>
      </c>
    </row>
    <row r="1242" spans="1:8" x14ac:dyDescent="0.45">
      <c r="A1242" s="90" t="s">
        <v>12</v>
      </c>
      <c r="B1242" s="86">
        <v>0</v>
      </c>
      <c r="C1242" s="86">
        <v>0</v>
      </c>
      <c r="D1242" s="86">
        <v>0</v>
      </c>
      <c r="E1242" s="86">
        <v>81</v>
      </c>
      <c r="F1242" s="86">
        <v>53</v>
      </c>
      <c r="G1242" s="86">
        <v>13</v>
      </c>
      <c r="H1242" s="86">
        <f t="shared" si="51"/>
        <v>147</v>
      </c>
    </row>
    <row r="1243" spans="1:8" x14ac:dyDescent="0.45">
      <c r="A1243" s="90" t="s">
        <v>32</v>
      </c>
      <c r="B1243" s="86">
        <v>0</v>
      </c>
      <c r="C1243" s="86">
        <v>0</v>
      </c>
      <c r="D1243" s="86">
        <v>0</v>
      </c>
      <c r="E1243" s="86">
        <v>3</v>
      </c>
      <c r="F1243" s="86">
        <v>5</v>
      </c>
      <c r="G1243" s="86">
        <v>2</v>
      </c>
      <c r="H1243" s="86">
        <f t="shared" si="51"/>
        <v>10</v>
      </c>
    </row>
    <row r="1244" spans="1:8" x14ac:dyDescent="0.45">
      <c r="A1244" s="90" t="s">
        <v>18</v>
      </c>
      <c r="B1244" s="86">
        <v>0</v>
      </c>
      <c r="C1244" s="86">
        <v>1</v>
      </c>
      <c r="D1244" s="86">
        <v>13</v>
      </c>
      <c r="E1244" s="86">
        <v>93</v>
      </c>
      <c r="F1244" s="86">
        <v>73</v>
      </c>
      <c r="G1244" s="86">
        <v>180</v>
      </c>
      <c r="H1244" s="86">
        <f t="shared" si="51"/>
        <v>360</v>
      </c>
    </row>
    <row r="1245" spans="1:8" x14ac:dyDescent="0.45">
      <c r="A1245" s="90" t="s">
        <v>46</v>
      </c>
      <c r="B1245" s="86">
        <v>0</v>
      </c>
      <c r="C1245" s="86">
        <v>1</v>
      </c>
      <c r="D1245" s="86">
        <v>0</v>
      </c>
      <c r="E1245" s="86">
        <v>0</v>
      </c>
      <c r="F1245" s="86">
        <v>0</v>
      </c>
      <c r="G1245" s="86">
        <v>0</v>
      </c>
      <c r="H1245" s="86">
        <f t="shared" si="51"/>
        <v>1</v>
      </c>
    </row>
    <row r="1246" spans="1:8" x14ac:dyDescent="0.45">
      <c r="A1246" s="90" t="s">
        <v>13</v>
      </c>
      <c r="B1246" s="86">
        <v>0</v>
      </c>
      <c r="C1246" s="86">
        <v>0</v>
      </c>
      <c r="D1246" s="86">
        <v>0</v>
      </c>
      <c r="E1246" s="86">
        <v>0</v>
      </c>
      <c r="F1246" s="86">
        <v>2</v>
      </c>
      <c r="G1246" s="86">
        <v>8</v>
      </c>
      <c r="H1246" s="86">
        <f t="shared" si="51"/>
        <v>10</v>
      </c>
    </row>
    <row r="1247" spans="1:8" x14ac:dyDescent="0.45">
      <c r="A1247" s="90" t="s">
        <v>14</v>
      </c>
      <c r="B1247" s="86">
        <v>3</v>
      </c>
      <c r="C1247" s="86">
        <v>0</v>
      </c>
      <c r="D1247" s="86">
        <v>3</v>
      </c>
      <c r="E1247" s="86">
        <v>210</v>
      </c>
      <c r="F1247" s="86">
        <v>411</v>
      </c>
      <c r="G1247" s="86">
        <v>13</v>
      </c>
      <c r="H1247" s="86">
        <f t="shared" si="51"/>
        <v>640</v>
      </c>
    </row>
    <row r="1248" spans="1:8" x14ac:dyDescent="0.45">
      <c r="A1248" s="90" t="s">
        <v>40</v>
      </c>
      <c r="B1248" s="86">
        <v>0</v>
      </c>
      <c r="C1248" s="86">
        <v>0</v>
      </c>
      <c r="D1248" s="86">
        <v>0</v>
      </c>
      <c r="E1248" s="86">
        <v>2</v>
      </c>
      <c r="F1248" s="86">
        <v>1</v>
      </c>
      <c r="G1248" s="86">
        <v>1</v>
      </c>
      <c r="H1248" s="86">
        <f t="shared" si="51"/>
        <v>4</v>
      </c>
    </row>
    <row r="1249" spans="1:11" x14ac:dyDescent="0.45">
      <c r="A1249" s="90" t="s">
        <v>52</v>
      </c>
      <c r="B1249" s="86">
        <v>0</v>
      </c>
      <c r="C1249" s="86">
        <v>0</v>
      </c>
      <c r="D1249" s="86">
        <v>0</v>
      </c>
      <c r="E1249" s="86">
        <v>0</v>
      </c>
      <c r="F1249" s="86">
        <v>0</v>
      </c>
      <c r="G1249" s="86">
        <v>0</v>
      </c>
      <c r="H1249" s="86">
        <f t="shared" si="51"/>
        <v>0</v>
      </c>
    </row>
    <row r="1250" spans="1:11" x14ac:dyDescent="0.45">
      <c r="A1250" s="90" t="s">
        <v>53</v>
      </c>
      <c r="B1250" s="86">
        <v>0</v>
      </c>
      <c r="C1250" s="86">
        <v>0</v>
      </c>
      <c r="D1250" s="86">
        <v>0</v>
      </c>
      <c r="E1250" s="86">
        <v>0</v>
      </c>
      <c r="F1250" s="86">
        <v>0</v>
      </c>
      <c r="G1250" s="86">
        <v>0</v>
      </c>
      <c r="H1250" s="86">
        <f t="shared" si="51"/>
        <v>0</v>
      </c>
    </row>
    <row r="1251" spans="1:11" x14ac:dyDescent="0.45">
      <c r="A1251" s="90" t="s">
        <v>15</v>
      </c>
      <c r="B1251" s="86">
        <v>0</v>
      </c>
      <c r="C1251" s="86">
        <v>0</v>
      </c>
      <c r="D1251" s="86">
        <v>0</v>
      </c>
      <c r="E1251" s="86">
        <v>16</v>
      </c>
      <c r="F1251" s="86">
        <v>0</v>
      </c>
      <c r="G1251" s="86">
        <v>8</v>
      </c>
      <c r="H1251" s="86">
        <f t="shared" si="51"/>
        <v>24</v>
      </c>
    </row>
    <row r="1252" spans="1:11" x14ac:dyDescent="0.45">
      <c r="A1252" s="90" t="s">
        <v>54</v>
      </c>
      <c r="B1252" s="86">
        <v>0</v>
      </c>
      <c r="C1252" s="86">
        <v>0</v>
      </c>
      <c r="D1252" s="86">
        <v>0</v>
      </c>
      <c r="E1252" s="86">
        <v>7</v>
      </c>
      <c r="F1252" s="86">
        <v>0</v>
      </c>
      <c r="G1252" s="86">
        <v>0</v>
      </c>
      <c r="H1252" s="86">
        <f t="shared" si="51"/>
        <v>7</v>
      </c>
    </row>
    <row r="1253" spans="1:11" x14ac:dyDescent="0.45">
      <c r="A1253" s="90" t="s">
        <v>47</v>
      </c>
      <c r="B1253" s="86">
        <v>0</v>
      </c>
      <c r="C1253" s="86">
        <v>2</v>
      </c>
      <c r="D1253" s="86">
        <v>14</v>
      </c>
      <c r="E1253" s="86">
        <v>39</v>
      </c>
      <c r="F1253" s="86">
        <v>58</v>
      </c>
      <c r="G1253" s="86">
        <v>7</v>
      </c>
      <c r="H1253" s="86">
        <f t="shared" si="51"/>
        <v>120</v>
      </c>
    </row>
    <row r="1254" spans="1:11" x14ac:dyDescent="0.45">
      <c r="A1254" s="90" t="s">
        <v>16</v>
      </c>
      <c r="B1254" s="86">
        <v>0</v>
      </c>
      <c r="C1254" s="86">
        <v>0</v>
      </c>
      <c r="D1254" s="86">
        <v>0</v>
      </c>
      <c r="E1254" s="86">
        <v>0</v>
      </c>
      <c r="F1254" s="86">
        <v>0</v>
      </c>
      <c r="G1254" s="86">
        <v>0</v>
      </c>
      <c r="H1254" s="86">
        <f t="shared" si="51"/>
        <v>0</v>
      </c>
    </row>
    <row r="1255" spans="1:11" x14ac:dyDescent="0.45">
      <c r="A1255" s="90" t="s">
        <v>55</v>
      </c>
      <c r="B1255" s="86">
        <v>0</v>
      </c>
      <c r="C1255" s="86">
        <v>0</v>
      </c>
      <c r="D1255" s="86">
        <v>0</v>
      </c>
      <c r="E1255" s="86">
        <v>0</v>
      </c>
      <c r="F1255" s="86">
        <v>0</v>
      </c>
      <c r="G1255" s="86">
        <v>0</v>
      </c>
      <c r="H1255" s="86">
        <f t="shared" si="51"/>
        <v>0</v>
      </c>
    </row>
    <row r="1256" spans="1:11" x14ac:dyDescent="0.45">
      <c r="A1256" s="90" t="s">
        <v>17</v>
      </c>
      <c r="B1256" s="86">
        <v>0</v>
      </c>
      <c r="C1256" s="86">
        <v>0</v>
      </c>
      <c r="D1256" s="86">
        <v>0</v>
      </c>
      <c r="E1256" s="86">
        <v>0</v>
      </c>
      <c r="F1256" s="86">
        <v>0</v>
      </c>
      <c r="G1256" s="86">
        <v>0</v>
      </c>
      <c r="H1256" s="86">
        <f t="shared" si="51"/>
        <v>0</v>
      </c>
    </row>
    <row r="1257" spans="1:11" x14ac:dyDescent="0.45">
      <c r="A1257" s="90" t="s">
        <v>151</v>
      </c>
    </row>
    <row r="1258" spans="1:11" x14ac:dyDescent="0.45">
      <c r="A1258" s="90" t="s">
        <v>24</v>
      </c>
      <c r="B1258" s="86">
        <v>6</v>
      </c>
      <c r="C1258" s="86">
        <v>66</v>
      </c>
      <c r="D1258" s="86">
        <v>418</v>
      </c>
      <c r="E1258" s="86">
        <v>6266</v>
      </c>
      <c r="F1258" s="86">
        <v>8085</v>
      </c>
      <c r="G1258" s="86">
        <v>964</v>
      </c>
      <c r="H1258" s="86">
        <f>SUM(B1258:G1258)</f>
        <v>15805</v>
      </c>
    </row>
    <row r="1261" spans="1:11" x14ac:dyDescent="0.45">
      <c r="A1261" s="1" t="s">
        <v>225</v>
      </c>
    </row>
    <row r="1262" spans="1:11" x14ac:dyDescent="0.45">
      <c r="A1262" s="1" t="s">
        <v>113</v>
      </c>
    </row>
    <row r="1264" spans="1:11" x14ac:dyDescent="0.45">
      <c r="A1264" s="95"/>
      <c r="B1264" s="1" t="s">
        <v>20</v>
      </c>
      <c r="C1264" s="1"/>
      <c r="D1264" s="1"/>
      <c r="E1264" s="1"/>
      <c r="F1264" s="1" t="s">
        <v>21</v>
      </c>
      <c r="G1264" s="1"/>
      <c r="H1264" s="1"/>
      <c r="I1264" s="1"/>
      <c r="J1264" s="1"/>
      <c r="K1264" s="1"/>
    </row>
    <row r="1265" spans="1:11" x14ac:dyDescent="0.45">
      <c r="A1265" s="108" t="s">
        <v>19</v>
      </c>
      <c r="B1265" s="128">
        <v>13</v>
      </c>
      <c r="C1265" s="128">
        <v>18</v>
      </c>
      <c r="D1265" s="128">
        <v>23</v>
      </c>
      <c r="E1265" s="128">
        <v>28</v>
      </c>
      <c r="F1265" s="128">
        <v>3</v>
      </c>
      <c r="G1265" s="128">
        <v>8</v>
      </c>
      <c r="H1265" s="128">
        <v>13</v>
      </c>
      <c r="I1265" s="128">
        <v>18</v>
      </c>
      <c r="J1265" s="128">
        <v>23</v>
      </c>
      <c r="K1265" s="97" t="s">
        <v>24</v>
      </c>
    </row>
    <row r="1266" spans="1:11" x14ac:dyDescent="0.45">
      <c r="A1266" s="90" t="s">
        <v>1</v>
      </c>
      <c r="B1266" s="86">
        <v>0</v>
      </c>
      <c r="C1266" s="86">
        <v>0</v>
      </c>
      <c r="D1266" s="86">
        <v>0</v>
      </c>
      <c r="E1266" s="86">
        <v>0</v>
      </c>
      <c r="F1266" s="86">
        <v>4</v>
      </c>
      <c r="G1266" s="86">
        <v>29</v>
      </c>
      <c r="H1266" s="86">
        <v>48</v>
      </c>
      <c r="I1266" s="86">
        <v>84</v>
      </c>
      <c r="J1266" s="86">
        <v>39</v>
      </c>
      <c r="K1266" s="86">
        <v>204</v>
      </c>
    </row>
    <row r="1267" spans="1:11" x14ac:dyDescent="0.45">
      <c r="A1267" s="90" t="s">
        <v>49</v>
      </c>
      <c r="B1267" s="86">
        <v>0</v>
      </c>
      <c r="C1267" s="86">
        <v>0</v>
      </c>
      <c r="D1267" s="86">
        <v>0</v>
      </c>
      <c r="E1267" s="86">
        <v>0</v>
      </c>
      <c r="F1267" s="86">
        <v>0</v>
      </c>
      <c r="G1267" s="86">
        <v>0</v>
      </c>
      <c r="H1267" s="86">
        <v>0</v>
      </c>
      <c r="I1267" s="86">
        <v>0</v>
      </c>
      <c r="J1267" s="86">
        <v>0</v>
      </c>
      <c r="K1267" s="86">
        <v>0</v>
      </c>
    </row>
    <row r="1268" spans="1:11" x14ac:dyDescent="0.45">
      <c r="A1268" s="90" t="s">
        <v>45</v>
      </c>
      <c r="B1268" s="86">
        <v>0</v>
      </c>
      <c r="C1268" s="86">
        <v>0</v>
      </c>
      <c r="D1268" s="86">
        <v>0</v>
      </c>
      <c r="E1268" s="86">
        <v>0</v>
      </c>
      <c r="F1268" s="86">
        <v>0</v>
      </c>
      <c r="G1268" s="86">
        <v>0</v>
      </c>
      <c r="H1268" s="86">
        <v>0</v>
      </c>
      <c r="I1268" s="86">
        <v>2</v>
      </c>
      <c r="J1268" s="86">
        <v>0</v>
      </c>
      <c r="K1268" s="86">
        <v>2</v>
      </c>
    </row>
    <row r="1269" spans="1:11" x14ac:dyDescent="0.45">
      <c r="A1269" s="90" t="s">
        <v>41</v>
      </c>
      <c r="B1269" s="86">
        <v>0</v>
      </c>
      <c r="C1269" s="86">
        <v>0</v>
      </c>
      <c r="D1269" s="86">
        <v>5</v>
      </c>
      <c r="E1269" s="86">
        <v>0</v>
      </c>
      <c r="F1269" s="86">
        <v>6</v>
      </c>
      <c r="G1269" s="86">
        <v>0</v>
      </c>
      <c r="H1269" s="86">
        <v>2</v>
      </c>
      <c r="I1269" s="86">
        <v>0</v>
      </c>
      <c r="J1269" s="86">
        <v>0</v>
      </c>
      <c r="K1269" s="86">
        <v>13</v>
      </c>
    </row>
    <row r="1270" spans="1:11" x14ac:dyDescent="0.45">
      <c r="A1270" s="90" t="s">
        <v>2</v>
      </c>
      <c r="B1270" s="86">
        <v>1</v>
      </c>
      <c r="C1270" s="86">
        <v>25</v>
      </c>
      <c r="D1270" s="86">
        <v>29</v>
      </c>
      <c r="E1270" s="86">
        <v>9</v>
      </c>
      <c r="F1270" s="86">
        <v>17</v>
      </c>
      <c r="G1270" s="86">
        <v>22</v>
      </c>
      <c r="H1270" s="86">
        <v>3</v>
      </c>
      <c r="I1270" s="86">
        <v>0</v>
      </c>
      <c r="J1270" s="86">
        <v>0</v>
      </c>
      <c r="K1270" s="86">
        <v>106</v>
      </c>
    </row>
    <row r="1271" spans="1:11" x14ac:dyDescent="0.45">
      <c r="A1271" s="90" t="s">
        <v>43</v>
      </c>
      <c r="B1271" s="86">
        <v>0</v>
      </c>
      <c r="C1271" s="86">
        <v>0</v>
      </c>
      <c r="D1271" s="86">
        <v>2</v>
      </c>
      <c r="E1271" s="86">
        <v>3</v>
      </c>
      <c r="F1271" s="86">
        <v>0</v>
      </c>
      <c r="G1271" s="86">
        <v>4</v>
      </c>
      <c r="H1271" s="86">
        <v>4</v>
      </c>
      <c r="I1271" s="86">
        <v>5</v>
      </c>
      <c r="J1271" s="86">
        <v>4</v>
      </c>
      <c r="K1271" s="86">
        <v>22</v>
      </c>
    </row>
    <row r="1272" spans="1:11" x14ac:dyDescent="0.45">
      <c r="A1272" s="90" t="s">
        <v>3</v>
      </c>
      <c r="B1272" s="86">
        <v>0</v>
      </c>
      <c r="C1272" s="86">
        <v>15</v>
      </c>
      <c r="D1272" s="86">
        <v>49</v>
      </c>
      <c r="E1272" s="86">
        <v>12</v>
      </c>
      <c r="F1272" s="86">
        <v>2</v>
      </c>
      <c r="G1272" s="86">
        <v>7</v>
      </c>
      <c r="H1272" s="86">
        <v>0</v>
      </c>
      <c r="I1272" s="86">
        <v>1</v>
      </c>
      <c r="J1272" s="86">
        <v>2</v>
      </c>
      <c r="K1272" s="86">
        <v>88</v>
      </c>
    </row>
    <row r="1273" spans="1:11" x14ac:dyDescent="0.45">
      <c r="A1273" s="90" t="s">
        <v>4</v>
      </c>
      <c r="B1273" s="86">
        <v>0</v>
      </c>
      <c r="C1273" s="86">
        <v>0</v>
      </c>
      <c r="D1273" s="86">
        <v>0</v>
      </c>
      <c r="E1273" s="86">
        <v>0</v>
      </c>
      <c r="F1273" s="86">
        <v>0</v>
      </c>
      <c r="G1273" s="86">
        <v>0</v>
      </c>
      <c r="H1273" s="86">
        <v>0</v>
      </c>
      <c r="I1273" s="86">
        <v>0</v>
      </c>
      <c r="J1273" s="86">
        <v>0</v>
      </c>
      <c r="K1273" s="86">
        <v>0</v>
      </c>
    </row>
    <row r="1274" spans="1:11" x14ac:dyDescent="0.45">
      <c r="A1274" s="90" t="s">
        <v>48</v>
      </c>
      <c r="B1274" s="86">
        <v>0</v>
      </c>
      <c r="C1274" s="86">
        <v>0</v>
      </c>
      <c r="D1274" s="86">
        <v>0</v>
      </c>
      <c r="E1274" s="86">
        <v>0</v>
      </c>
      <c r="F1274" s="86">
        <v>2</v>
      </c>
      <c r="G1274" s="86">
        <v>0</v>
      </c>
      <c r="H1274" s="86">
        <v>0</v>
      </c>
      <c r="I1274" s="86">
        <v>0</v>
      </c>
      <c r="J1274" s="86">
        <v>0</v>
      </c>
      <c r="K1274" s="86">
        <v>2</v>
      </c>
    </row>
    <row r="1275" spans="1:11" x14ac:dyDescent="0.45">
      <c r="A1275" s="90" t="s">
        <v>6</v>
      </c>
      <c r="B1275" s="86">
        <v>0</v>
      </c>
      <c r="C1275" s="86">
        <v>0</v>
      </c>
      <c r="D1275" s="86">
        <v>0</v>
      </c>
      <c r="E1275" s="86">
        <v>0</v>
      </c>
      <c r="F1275" s="86">
        <v>0</v>
      </c>
      <c r="G1275" s="86">
        <v>0</v>
      </c>
      <c r="H1275" s="86">
        <v>0</v>
      </c>
      <c r="I1275" s="86">
        <v>0</v>
      </c>
      <c r="J1275" s="86">
        <v>0</v>
      </c>
      <c r="K1275" s="86">
        <v>0</v>
      </c>
    </row>
    <row r="1276" spans="1:11" x14ac:dyDescent="0.45">
      <c r="A1276" s="90" t="s">
        <v>7</v>
      </c>
      <c r="B1276" s="86">
        <v>0</v>
      </c>
      <c r="C1276" s="86">
        <v>0</v>
      </c>
      <c r="D1276" s="86">
        <v>0</v>
      </c>
      <c r="E1276" s="86">
        <v>5</v>
      </c>
      <c r="F1276" s="86">
        <v>19</v>
      </c>
      <c r="G1276" s="86">
        <v>0</v>
      </c>
      <c r="H1276" s="86">
        <v>3</v>
      </c>
      <c r="I1276" s="86">
        <v>0</v>
      </c>
      <c r="J1276" s="86">
        <v>0</v>
      </c>
      <c r="K1276" s="86">
        <v>27</v>
      </c>
    </row>
    <row r="1277" spans="1:11" x14ac:dyDescent="0.45">
      <c r="A1277" s="90" t="s">
        <v>83</v>
      </c>
      <c r="B1277" s="86">
        <v>0</v>
      </c>
      <c r="C1277" s="86">
        <v>0</v>
      </c>
      <c r="D1277" s="86">
        <v>0</v>
      </c>
      <c r="E1277" s="86">
        <v>0</v>
      </c>
      <c r="F1277" s="86">
        <v>0</v>
      </c>
      <c r="G1277" s="86">
        <v>0</v>
      </c>
      <c r="H1277" s="86">
        <v>0</v>
      </c>
      <c r="I1277" s="86">
        <v>0</v>
      </c>
      <c r="J1277" s="86">
        <v>0</v>
      </c>
      <c r="K1277" s="86">
        <v>0</v>
      </c>
    </row>
    <row r="1278" spans="1:11" x14ac:dyDescent="0.45">
      <c r="A1278" s="90" t="s">
        <v>50</v>
      </c>
      <c r="B1278" s="86">
        <v>0</v>
      </c>
      <c r="C1278" s="86">
        <v>0</v>
      </c>
      <c r="D1278" s="86">
        <v>0</v>
      </c>
      <c r="E1278" s="86">
        <v>0</v>
      </c>
      <c r="F1278" s="86">
        <v>0</v>
      </c>
      <c r="G1278" s="86">
        <v>0</v>
      </c>
      <c r="H1278" s="86">
        <v>0</v>
      </c>
      <c r="I1278" s="86">
        <v>0</v>
      </c>
      <c r="J1278" s="86">
        <v>0</v>
      </c>
      <c r="K1278" s="86">
        <v>0</v>
      </c>
    </row>
    <row r="1279" spans="1:11" x14ac:dyDescent="0.45">
      <c r="A1279" s="90" t="s">
        <v>51</v>
      </c>
      <c r="B1279" s="86">
        <v>0</v>
      </c>
      <c r="C1279" s="86">
        <v>0</v>
      </c>
      <c r="D1279" s="86">
        <v>0</v>
      </c>
      <c r="E1279" s="86">
        <v>0</v>
      </c>
      <c r="F1279" s="86">
        <v>0</v>
      </c>
      <c r="G1279" s="86">
        <v>0</v>
      </c>
      <c r="H1279" s="86">
        <v>0</v>
      </c>
      <c r="I1279" s="86">
        <v>1</v>
      </c>
      <c r="J1279" s="86">
        <v>0</v>
      </c>
      <c r="K1279" s="86">
        <v>1</v>
      </c>
    </row>
    <row r="1280" spans="1:11" x14ac:dyDescent="0.45">
      <c r="A1280" s="90" t="s">
        <v>42</v>
      </c>
      <c r="B1280" s="86">
        <v>0</v>
      </c>
      <c r="C1280" s="86">
        <v>0</v>
      </c>
      <c r="D1280" s="86">
        <v>0</v>
      </c>
      <c r="E1280" s="86">
        <v>0</v>
      </c>
      <c r="F1280" s="86">
        <v>1</v>
      </c>
      <c r="G1280" s="86">
        <v>3</v>
      </c>
      <c r="H1280" s="86">
        <v>0</v>
      </c>
      <c r="I1280" s="86">
        <v>0</v>
      </c>
      <c r="J1280" s="86">
        <v>0</v>
      </c>
      <c r="K1280" s="86">
        <v>4</v>
      </c>
    </row>
    <row r="1281" spans="1:11" x14ac:dyDescent="0.45">
      <c r="A1281" s="90" t="s">
        <v>8</v>
      </c>
      <c r="B1281" s="86">
        <v>0</v>
      </c>
      <c r="C1281" s="86">
        <v>0</v>
      </c>
      <c r="D1281" s="86">
        <v>0</v>
      </c>
      <c r="E1281" s="86">
        <v>0</v>
      </c>
      <c r="F1281" s="86">
        <v>0</v>
      </c>
      <c r="G1281" s="86">
        <v>1</v>
      </c>
      <c r="H1281" s="86">
        <v>18</v>
      </c>
      <c r="I1281" s="86">
        <v>9</v>
      </c>
      <c r="J1281" s="86">
        <v>0</v>
      </c>
      <c r="K1281" s="86">
        <v>28</v>
      </c>
    </row>
    <row r="1282" spans="1:11" x14ac:dyDescent="0.45">
      <c r="A1282" s="90" t="s">
        <v>9</v>
      </c>
      <c r="B1282" s="86">
        <v>0</v>
      </c>
      <c r="C1282" s="86">
        <v>0</v>
      </c>
      <c r="D1282" s="86">
        <v>0</v>
      </c>
      <c r="E1282" s="86">
        <v>36</v>
      </c>
      <c r="F1282" s="86">
        <v>41</v>
      </c>
      <c r="G1282" s="86">
        <v>364</v>
      </c>
      <c r="H1282" s="86">
        <v>303</v>
      </c>
      <c r="I1282" s="86">
        <v>106</v>
      </c>
      <c r="J1282" s="86">
        <v>0</v>
      </c>
      <c r="K1282" s="86">
        <v>850</v>
      </c>
    </row>
    <row r="1283" spans="1:11" x14ac:dyDescent="0.45">
      <c r="A1283" s="90" t="s">
        <v>44</v>
      </c>
      <c r="B1283" s="86">
        <v>0</v>
      </c>
      <c r="C1283" s="86">
        <v>0</v>
      </c>
      <c r="D1283" s="86">
        <v>2</v>
      </c>
      <c r="E1283" s="86">
        <v>0</v>
      </c>
      <c r="F1283" s="86">
        <v>0</v>
      </c>
      <c r="G1283" s="86">
        <v>1</v>
      </c>
      <c r="H1283" s="86">
        <v>0</v>
      </c>
      <c r="I1283" s="86">
        <v>0</v>
      </c>
      <c r="J1283" s="86">
        <v>2</v>
      </c>
      <c r="K1283" s="86">
        <v>5</v>
      </c>
    </row>
    <row r="1284" spans="1:11" x14ac:dyDescent="0.45">
      <c r="A1284" s="90" t="s">
        <v>10</v>
      </c>
      <c r="B1284" s="86">
        <v>0</v>
      </c>
      <c r="C1284" s="86">
        <v>0</v>
      </c>
      <c r="D1284" s="86">
        <v>0</v>
      </c>
      <c r="E1284" s="86">
        <v>0</v>
      </c>
      <c r="F1284" s="86">
        <v>1</v>
      </c>
      <c r="G1284" s="86">
        <v>15</v>
      </c>
      <c r="H1284" s="86">
        <v>2</v>
      </c>
      <c r="I1284" s="86">
        <v>4</v>
      </c>
      <c r="J1284" s="86">
        <v>0</v>
      </c>
      <c r="K1284" s="86">
        <v>22</v>
      </c>
    </row>
    <row r="1285" spans="1:11" x14ac:dyDescent="0.45">
      <c r="A1285" s="90" t="s">
        <v>11</v>
      </c>
      <c r="B1285" s="86">
        <v>0</v>
      </c>
      <c r="C1285" s="86">
        <v>0</v>
      </c>
      <c r="D1285" s="86">
        <v>0</v>
      </c>
      <c r="E1285" s="86">
        <v>0</v>
      </c>
      <c r="F1285" s="86">
        <v>343</v>
      </c>
      <c r="G1285" s="86">
        <v>1626</v>
      </c>
      <c r="H1285" s="86">
        <v>631</v>
      </c>
      <c r="I1285" s="86">
        <v>320</v>
      </c>
      <c r="J1285" s="86">
        <v>21</v>
      </c>
      <c r="K1285" s="86">
        <v>2941</v>
      </c>
    </row>
    <row r="1286" spans="1:11" x14ac:dyDescent="0.45">
      <c r="A1286" s="90" t="s">
        <v>12</v>
      </c>
      <c r="B1286" s="86">
        <v>0</v>
      </c>
      <c r="C1286" s="86">
        <v>0</v>
      </c>
      <c r="D1286" s="86">
        <v>0</v>
      </c>
      <c r="E1286" s="86">
        <v>0</v>
      </c>
      <c r="F1286" s="86">
        <v>24</v>
      </c>
      <c r="G1286" s="86">
        <v>18</v>
      </c>
      <c r="H1286" s="86">
        <v>15</v>
      </c>
      <c r="I1286" s="86">
        <v>8</v>
      </c>
      <c r="J1286" s="86">
        <v>1</v>
      </c>
      <c r="K1286" s="86">
        <v>66</v>
      </c>
    </row>
    <row r="1287" spans="1:11" x14ac:dyDescent="0.45">
      <c r="A1287" s="90" t="s">
        <v>32</v>
      </c>
      <c r="B1287" s="86">
        <v>0</v>
      </c>
      <c r="C1287" s="86">
        <v>0</v>
      </c>
      <c r="D1287" s="86">
        <v>0</v>
      </c>
      <c r="E1287" s="86">
        <v>0</v>
      </c>
      <c r="F1287" s="86">
        <v>0</v>
      </c>
      <c r="G1287" s="86">
        <v>0</v>
      </c>
      <c r="H1287" s="86">
        <v>0</v>
      </c>
      <c r="I1287" s="86">
        <v>0</v>
      </c>
      <c r="J1287" s="86">
        <v>0</v>
      </c>
      <c r="K1287" s="86">
        <v>0</v>
      </c>
    </row>
    <row r="1288" spans="1:11" x14ac:dyDescent="0.45">
      <c r="A1288" s="90" t="s">
        <v>18</v>
      </c>
      <c r="B1288" s="86">
        <v>0</v>
      </c>
      <c r="C1288" s="86">
        <v>0</v>
      </c>
      <c r="D1288" s="86">
        <v>0</v>
      </c>
      <c r="E1288" s="86">
        <v>0</v>
      </c>
      <c r="F1288" s="86">
        <v>70</v>
      </c>
      <c r="G1288" s="86">
        <v>410</v>
      </c>
      <c r="H1288" s="86">
        <v>334</v>
      </c>
      <c r="I1288" s="86">
        <v>106</v>
      </c>
      <c r="J1288" s="86">
        <v>2</v>
      </c>
      <c r="K1288" s="86">
        <v>922</v>
      </c>
    </row>
    <row r="1289" spans="1:11" x14ac:dyDescent="0.45">
      <c r="A1289" s="90" t="s">
        <v>46</v>
      </c>
      <c r="B1289" s="86">
        <v>0</v>
      </c>
      <c r="C1289" s="86">
        <v>0</v>
      </c>
      <c r="D1289" s="86">
        <v>0</v>
      </c>
      <c r="E1289" s="86">
        <v>0</v>
      </c>
      <c r="F1289" s="86">
        <v>0</v>
      </c>
      <c r="G1289" s="86">
        <v>0</v>
      </c>
      <c r="H1289" s="86">
        <v>0</v>
      </c>
      <c r="I1289" s="86">
        <v>1</v>
      </c>
      <c r="J1289" s="86">
        <v>0</v>
      </c>
      <c r="K1289" s="86">
        <v>1</v>
      </c>
    </row>
    <row r="1290" spans="1:11" x14ac:dyDescent="0.45">
      <c r="A1290" s="90" t="s">
        <v>13</v>
      </c>
      <c r="B1290" s="86">
        <v>0</v>
      </c>
      <c r="C1290" s="86">
        <v>0</v>
      </c>
      <c r="D1290" s="86">
        <v>0</v>
      </c>
      <c r="E1290" s="86">
        <v>0</v>
      </c>
      <c r="F1290" s="86">
        <v>0</v>
      </c>
      <c r="G1290" s="86">
        <v>0</v>
      </c>
      <c r="H1290" s="86">
        <v>0</v>
      </c>
      <c r="I1290" s="86">
        <v>40</v>
      </c>
      <c r="J1290" s="86">
        <v>0</v>
      </c>
      <c r="K1290" s="86">
        <v>40</v>
      </c>
    </row>
    <row r="1291" spans="1:11" x14ac:dyDescent="0.45">
      <c r="A1291" s="90" t="s">
        <v>14</v>
      </c>
      <c r="B1291" s="86">
        <v>0</v>
      </c>
      <c r="C1291" s="86">
        <v>0</v>
      </c>
      <c r="D1291" s="86">
        <v>0</v>
      </c>
      <c r="E1291" s="86">
        <v>0</v>
      </c>
      <c r="F1291" s="86">
        <v>206</v>
      </c>
      <c r="G1291" s="86">
        <v>256</v>
      </c>
      <c r="H1291" s="86">
        <v>89</v>
      </c>
      <c r="I1291" s="86">
        <v>28</v>
      </c>
      <c r="J1291" s="86">
        <v>0</v>
      </c>
      <c r="K1291" s="86">
        <v>579</v>
      </c>
    </row>
    <row r="1292" spans="1:11" x14ac:dyDescent="0.45">
      <c r="A1292" s="90" t="s">
        <v>40</v>
      </c>
      <c r="B1292" s="86">
        <v>1</v>
      </c>
      <c r="C1292" s="86">
        <v>0</v>
      </c>
      <c r="D1292" s="86">
        <v>1</v>
      </c>
      <c r="E1292" s="86">
        <v>0</v>
      </c>
      <c r="F1292" s="86">
        <v>0</v>
      </c>
      <c r="G1292" s="86">
        <v>0</v>
      </c>
      <c r="H1292" s="86">
        <v>0</v>
      </c>
      <c r="I1292" s="86">
        <v>1</v>
      </c>
      <c r="J1292" s="86">
        <v>0</v>
      </c>
      <c r="K1292" s="86">
        <v>3</v>
      </c>
    </row>
    <row r="1293" spans="1:11" x14ac:dyDescent="0.45">
      <c r="A1293" s="90" t="s">
        <v>52</v>
      </c>
      <c r="B1293" s="86">
        <v>0</v>
      </c>
      <c r="C1293" s="86">
        <v>0</v>
      </c>
      <c r="D1293" s="86">
        <v>0</v>
      </c>
      <c r="E1293" s="86">
        <v>0</v>
      </c>
      <c r="F1293" s="86">
        <v>0</v>
      </c>
      <c r="G1293" s="86">
        <v>0</v>
      </c>
      <c r="H1293" s="86">
        <v>0</v>
      </c>
      <c r="I1293" s="86">
        <v>0</v>
      </c>
      <c r="J1293" s="86">
        <v>0</v>
      </c>
      <c r="K1293" s="86">
        <v>0</v>
      </c>
    </row>
    <row r="1294" spans="1:11" x14ac:dyDescent="0.45">
      <c r="A1294" s="90" t="s">
        <v>53</v>
      </c>
      <c r="B1294" s="86">
        <v>0</v>
      </c>
      <c r="C1294" s="86">
        <v>0</v>
      </c>
      <c r="D1294" s="86">
        <v>0</v>
      </c>
      <c r="E1294" s="86">
        <v>0</v>
      </c>
      <c r="F1294" s="86">
        <v>0</v>
      </c>
      <c r="G1294" s="86">
        <v>0</v>
      </c>
      <c r="H1294" s="86">
        <v>0</v>
      </c>
      <c r="I1294" s="86">
        <v>0</v>
      </c>
      <c r="J1294" s="86">
        <v>0</v>
      </c>
      <c r="K1294" s="86">
        <v>0</v>
      </c>
    </row>
    <row r="1295" spans="1:11" x14ac:dyDescent="0.45">
      <c r="A1295" s="90" t="s">
        <v>15</v>
      </c>
      <c r="B1295" s="86">
        <v>0</v>
      </c>
      <c r="C1295" s="86">
        <v>0</v>
      </c>
      <c r="D1295" s="86">
        <v>0</v>
      </c>
      <c r="E1295" s="86">
        <v>0</v>
      </c>
      <c r="F1295" s="86">
        <v>0</v>
      </c>
      <c r="G1295" s="86">
        <v>0</v>
      </c>
      <c r="H1295" s="86">
        <v>0</v>
      </c>
      <c r="I1295" s="86">
        <v>0</v>
      </c>
      <c r="J1295" s="86">
        <v>2</v>
      </c>
      <c r="K1295" s="86">
        <v>2</v>
      </c>
    </row>
    <row r="1296" spans="1:11" x14ac:dyDescent="0.45">
      <c r="A1296" s="90" t="s">
        <v>54</v>
      </c>
      <c r="B1296" s="86">
        <v>0</v>
      </c>
      <c r="C1296" s="86">
        <v>0</v>
      </c>
      <c r="D1296" s="86">
        <v>0</v>
      </c>
      <c r="E1296" s="86">
        <v>0</v>
      </c>
      <c r="F1296" s="86">
        <v>0</v>
      </c>
      <c r="G1296" s="86">
        <v>0</v>
      </c>
      <c r="H1296" s="86">
        <v>0</v>
      </c>
      <c r="I1296" s="86">
        <v>0</v>
      </c>
      <c r="J1296" s="86">
        <v>3</v>
      </c>
      <c r="K1296" s="86">
        <v>3</v>
      </c>
    </row>
    <row r="1297" spans="1:11" x14ac:dyDescent="0.45">
      <c r="A1297" s="90" t="s">
        <v>47</v>
      </c>
      <c r="B1297" s="86">
        <v>0</v>
      </c>
      <c r="C1297" s="86">
        <v>0</v>
      </c>
      <c r="D1297" s="86">
        <v>0</v>
      </c>
      <c r="E1297" s="86">
        <v>0</v>
      </c>
      <c r="F1297" s="86">
        <v>33</v>
      </c>
      <c r="G1297" s="86">
        <v>53</v>
      </c>
      <c r="H1297" s="86">
        <v>68</v>
      </c>
      <c r="I1297" s="86">
        <v>22</v>
      </c>
      <c r="J1297" s="86">
        <v>0</v>
      </c>
      <c r="K1297" s="86">
        <v>176</v>
      </c>
    </row>
    <row r="1298" spans="1:11" x14ac:dyDescent="0.45">
      <c r="A1298" s="90" t="s">
        <v>16</v>
      </c>
      <c r="B1298" s="86">
        <v>0</v>
      </c>
      <c r="C1298" s="86">
        <v>0</v>
      </c>
      <c r="D1298" s="86">
        <v>1</v>
      </c>
      <c r="E1298" s="86">
        <v>0</v>
      </c>
      <c r="F1298" s="86">
        <v>0</v>
      </c>
      <c r="G1298" s="86">
        <v>0</v>
      </c>
      <c r="H1298" s="86">
        <v>1</v>
      </c>
      <c r="I1298" s="86">
        <v>1</v>
      </c>
      <c r="J1298" s="86">
        <v>0</v>
      </c>
      <c r="K1298" s="86">
        <v>3</v>
      </c>
    </row>
    <row r="1299" spans="1:11" x14ac:dyDescent="0.45">
      <c r="A1299" s="90" t="s">
        <v>55</v>
      </c>
      <c r="B1299" s="86">
        <v>0</v>
      </c>
      <c r="C1299" s="86">
        <v>0</v>
      </c>
      <c r="D1299" s="86">
        <v>0</v>
      </c>
      <c r="E1299" s="86">
        <v>0</v>
      </c>
      <c r="F1299" s="86">
        <v>0</v>
      </c>
      <c r="G1299" s="86">
        <v>0</v>
      </c>
      <c r="H1299" s="86">
        <v>0</v>
      </c>
      <c r="I1299" s="86">
        <v>0</v>
      </c>
      <c r="J1299" s="86">
        <v>0</v>
      </c>
      <c r="K1299" s="86">
        <v>0</v>
      </c>
    </row>
    <row r="1300" spans="1:11" x14ac:dyDescent="0.45">
      <c r="A1300" s="90" t="s">
        <v>17</v>
      </c>
      <c r="B1300" s="86">
        <v>0</v>
      </c>
      <c r="C1300" s="86">
        <v>0</v>
      </c>
      <c r="D1300" s="86">
        <v>0</v>
      </c>
      <c r="E1300" s="86">
        <v>0</v>
      </c>
      <c r="F1300" s="86">
        <v>0</v>
      </c>
      <c r="G1300" s="86">
        <v>1000</v>
      </c>
      <c r="H1300" s="86">
        <v>0</v>
      </c>
      <c r="I1300" s="86">
        <v>512</v>
      </c>
      <c r="J1300" s="86">
        <v>1001</v>
      </c>
      <c r="K1300" s="86">
        <v>2513</v>
      </c>
    </row>
    <row r="1301" spans="1:11" x14ac:dyDescent="0.45">
      <c r="A1301" s="170" t="s">
        <v>24</v>
      </c>
      <c r="B1301" s="160">
        <v>2</v>
      </c>
      <c r="C1301" s="160">
        <v>40</v>
      </c>
      <c r="D1301" s="160">
        <v>89</v>
      </c>
      <c r="E1301" s="160">
        <v>65</v>
      </c>
      <c r="F1301" s="160">
        <v>769</v>
      </c>
      <c r="G1301" s="160">
        <v>3809</v>
      </c>
      <c r="H1301" s="160">
        <v>1521</v>
      </c>
      <c r="I1301" s="160">
        <v>1251</v>
      </c>
      <c r="J1301" s="160">
        <v>1077</v>
      </c>
      <c r="K1301" s="160">
        <v>8623</v>
      </c>
    </row>
    <row r="1304" spans="1:11" x14ac:dyDescent="0.45">
      <c r="A1304" s="1" t="s">
        <v>222</v>
      </c>
    </row>
    <row r="1305" spans="1:11" x14ac:dyDescent="0.45">
      <c r="A1305" s="1" t="s">
        <v>115</v>
      </c>
    </row>
    <row r="1306" spans="1:11" x14ac:dyDescent="0.45">
      <c r="C1306" t="s">
        <v>166</v>
      </c>
    </row>
    <row r="1307" spans="1:11" x14ac:dyDescent="0.45">
      <c r="A1307" s="95"/>
      <c r="B1307" s="1" t="s">
        <v>20</v>
      </c>
      <c r="C1307" s="1"/>
      <c r="D1307" s="1"/>
      <c r="E1307" s="1"/>
      <c r="F1307" s="1" t="s">
        <v>21</v>
      </c>
      <c r="G1307" s="1"/>
      <c r="H1307" s="1"/>
      <c r="I1307" s="1"/>
      <c r="J1307" s="1"/>
      <c r="K1307" s="1"/>
    </row>
    <row r="1308" spans="1:11" x14ac:dyDescent="0.45">
      <c r="A1308" s="108" t="s">
        <v>19</v>
      </c>
      <c r="B1308" s="128">
        <v>14</v>
      </c>
      <c r="C1308" s="128">
        <v>19</v>
      </c>
      <c r="D1308" s="128">
        <v>24</v>
      </c>
      <c r="E1308" s="128">
        <v>29</v>
      </c>
      <c r="F1308" s="128">
        <v>4</v>
      </c>
      <c r="G1308" s="128">
        <v>9</v>
      </c>
      <c r="H1308" s="128">
        <v>14</v>
      </c>
      <c r="I1308" s="128">
        <v>19</v>
      </c>
      <c r="J1308" s="128">
        <v>24</v>
      </c>
      <c r="K1308" s="97" t="s">
        <v>24</v>
      </c>
    </row>
    <row r="1309" spans="1:11" x14ac:dyDescent="0.45">
      <c r="A1309" s="90" t="s">
        <v>1</v>
      </c>
      <c r="B1309" s="86">
        <v>0</v>
      </c>
      <c r="C1309" s="86">
        <v>0</v>
      </c>
      <c r="D1309" s="86">
        <v>0</v>
      </c>
      <c r="E1309" s="86">
        <v>0</v>
      </c>
      <c r="F1309" s="86">
        <v>3</v>
      </c>
      <c r="G1309" s="86">
        <v>26</v>
      </c>
      <c r="H1309" s="86">
        <v>45</v>
      </c>
      <c r="I1309" s="86">
        <v>73</v>
      </c>
      <c r="J1309" s="86">
        <v>39</v>
      </c>
      <c r="K1309" s="86">
        <v>186</v>
      </c>
    </row>
    <row r="1310" spans="1:11" x14ac:dyDescent="0.45">
      <c r="A1310" s="90" t="s">
        <v>49</v>
      </c>
      <c r="B1310" s="86">
        <v>0</v>
      </c>
      <c r="C1310" s="86">
        <v>0</v>
      </c>
      <c r="D1310" s="86">
        <v>0</v>
      </c>
      <c r="E1310" s="86">
        <v>0</v>
      </c>
      <c r="F1310" s="86">
        <v>0</v>
      </c>
      <c r="G1310" s="86">
        <v>0</v>
      </c>
      <c r="H1310" s="86">
        <v>0</v>
      </c>
      <c r="I1310" s="86">
        <v>0</v>
      </c>
      <c r="J1310" s="86">
        <v>0</v>
      </c>
      <c r="K1310" s="86">
        <v>0</v>
      </c>
    </row>
    <row r="1311" spans="1:11" x14ac:dyDescent="0.45">
      <c r="A1311" s="90" t="s">
        <v>45</v>
      </c>
      <c r="B1311" s="86">
        <v>0</v>
      </c>
      <c r="C1311" s="86">
        <v>0</v>
      </c>
      <c r="D1311" s="86">
        <v>0</v>
      </c>
      <c r="E1311" s="86">
        <v>0</v>
      </c>
      <c r="F1311" s="86">
        <v>0</v>
      </c>
      <c r="G1311" s="86">
        <v>0</v>
      </c>
      <c r="H1311" s="86">
        <v>0</v>
      </c>
      <c r="I1311" s="86">
        <v>0</v>
      </c>
      <c r="J1311" s="86">
        <v>0</v>
      </c>
      <c r="K1311" s="86">
        <v>0</v>
      </c>
    </row>
    <row r="1312" spans="1:11" x14ac:dyDescent="0.45">
      <c r="A1312" s="90" t="s">
        <v>41</v>
      </c>
      <c r="B1312" s="86">
        <v>0</v>
      </c>
      <c r="C1312" s="86">
        <v>0</v>
      </c>
      <c r="D1312" s="86">
        <v>5</v>
      </c>
      <c r="E1312" s="86">
        <v>0</v>
      </c>
      <c r="F1312" s="86">
        <v>6</v>
      </c>
      <c r="G1312" s="86">
        <v>0</v>
      </c>
      <c r="H1312" s="86">
        <v>2</v>
      </c>
      <c r="I1312" s="86">
        <v>0</v>
      </c>
      <c r="J1312" s="86">
        <v>0</v>
      </c>
      <c r="K1312" s="86">
        <v>13</v>
      </c>
    </row>
    <row r="1313" spans="1:11" x14ac:dyDescent="0.45">
      <c r="A1313" s="90" t="s">
        <v>2</v>
      </c>
      <c r="B1313" s="86">
        <v>1</v>
      </c>
      <c r="C1313" s="86">
        <v>25</v>
      </c>
      <c r="D1313" s="86">
        <v>29</v>
      </c>
      <c r="E1313" s="86">
        <v>9</v>
      </c>
      <c r="F1313" s="86">
        <v>17</v>
      </c>
      <c r="G1313" s="86">
        <v>22</v>
      </c>
      <c r="H1313" s="86">
        <v>3</v>
      </c>
      <c r="I1313" s="86">
        <v>0</v>
      </c>
      <c r="J1313" s="86">
        <v>0</v>
      </c>
      <c r="K1313" s="86">
        <v>106</v>
      </c>
    </row>
    <row r="1314" spans="1:11" x14ac:dyDescent="0.45">
      <c r="A1314" s="90" t="s">
        <v>43</v>
      </c>
      <c r="B1314" s="86">
        <v>0</v>
      </c>
      <c r="C1314" s="86">
        <v>0</v>
      </c>
      <c r="D1314" s="86">
        <v>0</v>
      </c>
      <c r="E1314" s="86">
        <v>0</v>
      </c>
      <c r="F1314" s="86">
        <v>0</v>
      </c>
      <c r="G1314" s="86">
        <v>0</v>
      </c>
      <c r="H1314" s="86">
        <v>0</v>
      </c>
      <c r="I1314" s="86">
        <v>0</v>
      </c>
      <c r="J1314" s="86">
        <v>0</v>
      </c>
      <c r="K1314" s="86">
        <v>0</v>
      </c>
    </row>
    <row r="1315" spans="1:11" x14ac:dyDescent="0.45">
      <c r="A1315" s="90" t="s">
        <v>3</v>
      </c>
      <c r="B1315" s="86">
        <v>0</v>
      </c>
      <c r="C1315" s="86">
        <v>0</v>
      </c>
      <c r="D1315" s="86">
        <v>39</v>
      </c>
      <c r="E1315" s="86">
        <v>6</v>
      </c>
      <c r="F1315" s="86">
        <v>0</v>
      </c>
      <c r="G1315" s="86">
        <v>1</v>
      </c>
      <c r="H1315" s="86">
        <v>0</v>
      </c>
      <c r="I1315" s="86">
        <v>0</v>
      </c>
      <c r="J1315" s="86">
        <v>0</v>
      </c>
      <c r="K1315" s="86">
        <v>46</v>
      </c>
    </row>
    <row r="1316" spans="1:11" x14ac:dyDescent="0.45">
      <c r="A1316" s="90" t="s">
        <v>4</v>
      </c>
      <c r="B1316" s="86">
        <v>0</v>
      </c>
      <c r="C1316" s="86">
        <v>0</v>
      </c>
      <c r="D1316" s="86">
        <v>0</v>
      </c>
      <c r="E1316" s="86">
        <v>0</v>
      </c>
      <c r="F1316" s="86">
        <v>0</v>
      </c>
      <c r="G1316" s="86">
        <v>0</v>
      </c>
      <c r="H1316" s="86">
        <v>0</v>
      </c>
      <c r="I1316" s="86">
        <v>0</v>
      </c>
      <c r="J1316" s="86">
        <v>0</v>
      </c>
      <c r="K1316" s="86">
        <v>0</v>
      </c>
    </row>
    <row r="1317" spans="1:11" x14ac:dyDescent="0.45">
      <c r="A1317" s="90" t="s">
        <v>48</v>
      </c>
      <c r="B1317" s="86">
        <v>0</v>
      </c>
      <c r="C1317" s="86">
        <v>0</v>
      </c>
      <c r="D1317" s="86">
        <v>0</v>
      </c>
      <c r="E1317" s="86">
        <v>0</v>
      </c>
      <c r="F1317" s="86">
        <v>2</v>
      </c>
      <c r="G1317" s="86">
        <v>0</v>
      </c>
      <c r="H1317" s="86">
        <v>0</v>
      </c>
      <c r="I1317" s="86">
        <v>0</v>
      </c>
      <c r="J1317" s="86">
        <v>0</v>
      </c>
      <c r="K1317" s="86">
        <v>2</v>
      </c>
    </row>
    <row r="1318" spans="1:11" x14ac:dyDescent="0.45">
      <c r="A1318" s="90" t="s">
        <v>6</v>
      </c>
      <c r="B1318" s="86">
        <v>0</v>
      </c>
      <c r="C1318" s="86">
        <v>0</v>
      </c>
      <c r="D1318" s="86">
        <v>0</v>
      </c>
      <c r="E1318" s="86">
        <v>0</v>
      </c>
      <c r="F1318" s="86">
        <v>0</v>
      </c>
      <c r="G1318" s="86">
        <v>0</v>
      </c>
      <c r="H1318" s="86">
        <v>0</v>
      </c>
      <c r="I1318" s="86">
        <v>0</v>
      </c>
      <c r="J1318" s="86">
        <v>0</v>
      </c>
      <c r="K1318" s="86">
        <v>0</v>
      </c>
    </row>
    <row r="1319" spans="1:11" x14ac:dyDescent="0.45">
      <c r="A1319" s="90" t="s">
        <v>7</v>
      </c>
      <c r="B1319" s="86">
        <v>0</v>
      </c>
      <c r="C1319" s="86">
        <v>0</v>
      </c>
      <c r="D1319" s="86">
        <v>0</v>
      </c>
      <c r="E1319" s="86">
        <v>4</v>
      </c>
      <c r="F1319" s="86">
        <v>2</v>
      </c>
      <c r="G1319" s="86">
        <v>0</v>
      </c>
      <c r="H1319" s="86">
        <v>0</v>
      </c>
      <c r="I1319" s="86">
        <v>0</v>
      </c>
      <c r="J1319" s="86">
        <v>0</v>
      </c>
      <c r="K1319" s="86">
        <v>6</v>
      </c>
    </row>
    <row r="1320" spans="1:11" x14ac:dyDescent="0.45">
      <c r="A1320" s="90" t="s">
        <v>83</v>
      </c>
      <c r="B1320" s="86">
        <v>0</v>
      </c>
      <c r="C1320" s="86">
        <v>0</v>
      </c>
      <c r="D1320" s="86">
        <v>0</v>
      </c>
      <c r="E1320" s="86">
        <v>0</v>
      </c>
      <c r="F1320" s="86">
        <v>0</v>
      </c>
      <c r="G1320" s="86">
        <v>0</v>
      </c>
      <c r="H1320" s="86">
        <v>0</v>
      </c>
      <c r="I1320" s="86">
        <v>0</v>
      </c>
      <c r="J1320" s="86">
        <v>0</v>
      </c>
      <c r="K1320" s="86">
        <v>0</v>
      </c>
    </row>
    <row r="1321" spans="1:11" x14ac:dyDescent="0.45">
      <c r="A1321" s="90" t="s">
        <v>50</v>
      </c>
      <c r="B1321" s="86">
        <v>0</v>
      </c>
      <c r="C1321" s="86">
        <v>0</v>
      </c>
      <c r="D1321" s="86">
        <v>0</v>
      </c>
      <c r="E1321" s="86">
        <v>0</v>
      </c>
      <c r="F1321" s="86">
        <v>0</v>
      </c>
      <c r="G1321" s="86">
        <v>0</v>
      </c>
      <c r="H1321" s="86">
        <v>0</v>
      </c>
      <c r="I1321" s="86">
        <v>0</v>
      </c>
      <c r="J1321" s="86">
        <v>0</v>
      </c>
      <c r="K1321" s="86">
        <v>0</v>
      </c>
    </row>
    <row r="1322" spans="1:11" x14ac:dyDescent="0.45">
      <c r="A1322" s="90" t="s">
        <v>51</v>
      </c>
      <c r="B1322" s="86">
        <v>0</v>
      </c>
      <c r="C1322" s="86">
        <v>0</v>
      </c>
      <c r="D1322" s="86">
        <v>0</v>
      </c>
      <c r="E1322" s="86">
        <v>0</v>
      </c>
      <c r="F1322" s="86">
        <v>0</v>
      </c>
      <c r="G1322" s="86">
        <v>0</v>
      </c>
      <c r="H1322" s="86">
        <v>0</v>
      </c>
      <c r="I1322" s="86">
        <v>1</v>
      </c>
      <c r="J1322" s="86">
        <v>0</v>
      </c>
      <c r="K1322" s="86">
        <v>1</v>
      </c>
    </row>
    <row r="1323" spans="1:11" x14ac:dyDescent="0.45">
      <c r="A1323" s="90" t="s">
        <v>42</v>
      </c>
      <c r="B1323" s="86">
        <v>0</v>
      </c>
      <c r="C1323" s="86">
        <v>0</v>
      </c>
      <c r="D1323" s="86">
        <v>0</v>
      </c>
      <c r="E1323" s="86">
        <v>0</v>
      </c>
      <c r="F1323" s="86">
        <v>0</v>
      </c>
      <c r="G1323" s="86">
        <v>3</v>
      </c>
      <c r="H1323" s="86">
        <v>0</v>
      </c>
      <c r="I1323" s="86">
        <v>0</v>
      </c>
      <c r="J1323" s="86">
        <v>0</v>
      </c>
      <c r="K1323" s="86">
        <v>3</v>
      </c>
    </row>
    <row r="1324" spans="1:11" x14ac:dyDescent="0.45">
      <c r="A1324" s="90" t="s">
        <v>8</v>
      </c>
      <c r="B1324" s="86">
        <v>0</v>
      </c>
      <c r="C1324" s="86">
        <v>0</v>
      </c>
      <c r="D1324" s="86">
        <v>0</v>
      </c>
      <c r="E1324" s="86">
        <v>0</v>
      </c>
      <c r="F1324" s="86">
        <v>0</v>
      </c>
      <c r="G1324" s="86">
        <v>1</v>
      </c>
      <c r="H1324" s="86">
        <v>15</v>
      </c>
      <c r="I1324" s="86">
        <v>7</v>
      </c>
      <c r="J1324" s="86">
        <v>0</v>
      </c>
      <c r="K1324" s="86">
        <v>23</v>
      </c>
    </row>
    <row r="1325" spans="1:11" x14ac:dyDescent="0.45">
      <c r="A1325" s="90" t="s">
        <v>9</v>
      </c>
      <c r="B1325" s="86">
        <v>0</v>
      </c>
      <c r="C1325" s="86">
        <v>0</v>
      </c>
      <c r="D1325" s="86">
        <v>0</v>
      </c>
      <c r="E1325" s="86">
        <v>0</v>
      </c>
      <c r="F1325" s="86">
        <v>41</v>
      </c>
      <c r="G1325" s="86">
        <v>44</v>
      </c>
      <c r="H1325" s="86">
        <v>3</v>
      </c>
      <c r="I1325" s="86">
        <v>45</v>
      </c>
      <c r="J1325" s="86">
        <v>0</v>
      </c>
      <c r="K1325" s="86">
        <v>133</v>
      </c>
    </row>
    <row r="1326" spans="1:11" x14ac:dyDescent="0.45">
      <c r="A1326" s="90" t="s">
        <v>44</v>
      </c>
      <c r="B1326" s="86">
        <v>0</v>
      </c>
      <c r="C1326" s="86">
        <v>0</v>
      </c>
      <c r="D1326" s="86">
        <v>2</v>
      </c>
      <c r="E1326" s="86">
        <v>0</v>
      </c>
      <c r="F1326" s="86">
        <v>0</v>
      </c>
      <c r="G1326" s="86">
        <v>1</v>
      </c>
      <c r="H1326" s="86">
        <v>0</v>
      </c>
      <c r="I1326" s="86">
        <v>0</v>
      </c>
      <c r="J1326" s="86">
        <v>2</v>
      </c>
      <c r="K1326" s="86">
        <v>5</v>
      </c>
    </row>
    <row r="1327" spans="1:11" x14ac:dyDescent="0.45">
      <c r="A1327" s="90" t="s">
        <v>10</v>
      </c>
      <c r="B1327" s="86">
        <v>0</v>
      </c>
      <c r="C1327" s="86">
        <v>0</v>
      </c>
      <c r="D1327" s="86">
        <v>0</v>
      </c>
      <c r="E1327" s="86">
        <v>0</v>
      </c>
      <c r="F1327" s="86">
        <v>1</v>
      </c>
      <c r="G1327" s="86">
        <v>15</v>
      </c>
      <c r="H1327" s="86">
        <v>2</v>
      </c>
      <c r="I1327" s="86">
        <v>1</v>
      </c>
      <c r="J1327" s="86">
        <v>0</v>
      </c>
      <c r="K1327" s="86">
        <v>19</v>
      </c>
    </row>
    <row r="1328" spans="1:11" x14ac:dyDescent="0.45">
      <c r="A1328" s="90" t="s">
        <v>11</v>
      </c>
      <c r="B1328" s="86">
        <v>0</v>
      </c>
      <c r="C1328" s="86">
        <v>0</v>
      </c>
      <c r="D1328" s="86">
        <v>0</v>
      </c>
      <c r="E1328" s="86">
        <v>0</v>
      </c>
      <c r="F1328" s="86">
        <v>343</v>
      </c>
      <c r="G1328" s="86">
        <v>1622</v>
      </c>
      <c r="H1328" s="86">
        <v>431</v>
      </c>
      <c r="I1328" s="86">
        <v>320</v>
      </c>
      <c r="J1328" s="86">
        <v>21</v>
      </c>
      <c r="K1328" s="86">
        <v>2737</v>
      </c>
    </row>
    <row r="1329" spans="1:11" x14ac:dyDescent="0.45">
      <c r="A1329" s="90" t="s">
        <v>12</v>
      </c>
      <c r="B1329" s="86">
        <v>0</v>
      </c>
      <c r="C1329" s="86">
        <v>0</v>
      </c>
      <c r="D1329" s="86">
        <v>0</v>
      </c>
      <c r="E1329" s="86">
        <v>0</v>
      </c>
      <c r="F1329" s="86">
        <v>8</v>
      </c>
      <c r="G1329" s="86">
        <v>18</v>
      </c>
      <c r="H1329" s="86">
        <v>15</v>
      </c>
      <c r="I1329" s="86">
        <v>8</v>
      </c>
      <c r="J1329" s="86">
        <v>1</v>
      </c>
      <c r="K1329" s="86">
        <v>50</v>
      </c>
    </row>
    <row r="1330" spans="1:11" x14ac:dyDescent="0.45">
      <c r="A1330" s="90" t="s">
        <v>32</v>
      </c>
      <c r="B1330" s="86">
        <v>0</v>
      </c>
      <c r="C1330" s="86">
        <v>0</v>
      </c>
      <c r="D1330" s="86">
        <v>0</v>
      </c>
      <c r="E1330" s="86">
        <v>0</v>
      </c>
      <c r="F1330" s="86">
        <v>0</v>
      </c>
      <c r="G1330" s="86">
        <v>0</v>
      </c>
      <c r="H1330" s="86">
        <v>0</v>
      </c>
      <c r="I1330" s="86">
        <v>0</v>
      </c>
      <c r="J1330" s="86">
        <v>0</v>
      </c>
      <c r="K1330" s="86">
        <v>0</v>
      </c>
    </row>
    <row r="1331" spans="1:11" x14ac:dyDescent="0.45">
      <c r="A1331" s="90" t="s">
        <v>18</v>
      </c>
      <c r="B1331" s="86">
        <v>0</v>
      </c>
      <c r="C1331" s="86">
        <v>0</v>
      </c>
      <c r="D1331" s="86">
        <v>0</v>
      </c>
      <c r="E1331" s="86">
        <v>0</v>
      </c>
      <c r="F1331" s="86">
        <v>70</v>
      </c>
      <c r="G1331" s="86">
        <v>360</v>
      </c>
      <c r="H1331" s="86">
        <v>334</v>
      </c>
      <c r="I1331" s="86">
        <v>70</v>
      </c>
      <c r="J1331" s="86">
        <v>2</v>
      </c>
      <c r="K1331" s="86">
        <v>836</v>
      </c>
    </row>
    <row r="1332" spans="1:11" x14ac:dyDescent="0.45">
      <c r="A1332" s="90" t="s">
        <v>46</v>
      </c>
      <c r="B1332" s="86">
        <v>0</v>
      </c>
      <c r="C1332" s="86">
        <v>0</v>
      </c>
      <c r="D1332" s="86">
        <v>0</v>
      </c>
      <c r="E1332" s="86">
        <v>0</v>
      </c>
      <c r="F1332" s="86">
        <v>0</v>
      </c>
      <c r="G1332" s="86">
        <v>0</v>
      </c>
      <c r="H1332" s="86">
        <v>0</v>
      </c>
      <c r="I1332" s="86">
        <v>1</v>
      </c>
      <c r="J1332" s="86">
        <v>0</v>
      </c>
      <c r="K1332" s="86">
        <v>1</v>
      </c>
    </row>
    <row r="1333" spans="1:11" x14ac:dyDescent="0.45">
      <c r="A1333" s="90" t="s">
        <v>13</v>
      </c>
      <c r="B1333" s="86">
        <v>0</v>
      </c>
      <c r="C1333" s="86">
        <v>0</v>
      </c>
      <c r="D1333" s="86">
        <v>0</v>
      </c>
      <c r="E1333" s="86">
        <v>0</v>
      </c>
      <c r="F1333" s="86">
        <v>0</v>
      </c>
      <c r="G1333" s="86">
        <v>0</v>
      </c>
      <c r="H1333" s="86">
        <v>0</v>
      </c>
      <c r="I1333" s="86">
        <v>40</v>
      </c>
      <c r="J1333" s="86">
        <v>0</v>
      </c>
      <c r="K1333" s="86">
        <v>40</v>
      </c>
    </row>
    <row r="1334" spans="1:11" x14ac:dyDescent="0.45">
      <c r="A1334" s="90" t="s">
        <v>14</v>
      </c>
      <c r="B1334" s="86">
        <v>0</v>
      </c>
      <c r="C1334" s="86">
        <v>0</v>
      </c>
      <c r="D1334" s="86">
        <v>0</v>
      </c>
      <c r="E1334" s="86">
        <v>0</v>
      </c>
      <c r="F1334" s="86">
        <v>206</v>
      </c>
      <c r="G1334" s="86">
        <v>256</v>
      </c>
      <c r="H1334" s="86">
        <v>88</v>
      </c>
      <c r="I1334" s="86">
        <v>28</v>
      </c>
      <c r="J1334" s="86">
        <v>0</v>
      </c>
      <c r="K1334" s="86">
        <v>578</v>
      </c>
    </row>
    <row r="1335" spans="1:11" x14ac:dyDescent="0.45">
      <c r="A1335" s="90" t="s">
        <v>40</v>
      </c>
      <c r="B1335" s="86">
        <v>1</v>
      </c>
      <c r="C1335" s="86">
        <v>0</v>
      </c>
      <c r="D1335" s="86">
        <v>1</v>
      </c>
      <c r="E1335" s="86">
        <v>0</v>
      </c>
      <c r="F1335" s="86">
        <v>0</v>
      </c>
      <c r="G1335" s="86">
        <v>0</v>
      </c>
      <c r="H1335" s="86">
        <v>0</v>
      </c>
      <c r="I1335" s="86">
        <v>0</v>
      </c>
      <c r="J1335" s="86">
        <v>0</v>
      </c>
      <c r="K1335" s="86">
        <v>2</v>
      </c>
    </row>
    <row r="1336" spans="1:11" x14ac:dyDescent="0.45">
      <c r="A1336" s="90" t="s">
        <v>52</v>
      </c>
      <c r="B1336" s="86">
        <v>0</v>
      </c>
      <c r="C1336" s="86">
        <v>0</v>
      </c>
      <c r="D1336" s="86">
        <v>0</v>
      </c>
      <c r="E1336" s="86">
        <v>0</v>
      </c>
      <c r="F1336" s="86">
        <v>0</v>
      </c>
      <c r="G1336" s="86">
        <v>0</v>
      </c>
      <c r="H1336" s="86">
        <v>0</v>
      </c>
      <c r="I1336" s="86">
        <v>0</v>
      </c>
      <c r="J1336" s="86">
        <v>0</v>
      </c>
      <c r="K1336" s="86">
        <v>0</v>
      </c>
    </row>
    <row r="1337" spans="1:11" x14ac:dyDescent="0.45">
      <c r="A1337" s="90" t="s">
        <v>53</v>
      </c>
      <c r="B1337" s="86">
        <v>0</v>
      </c>
      <c r="C1337" s="86">
        <v>0</v>
      </c>
      <c r="D1337" s="86">
        <v>0</v>
      </c>
      <c r="E1337" s="86">
        <v>0</v>
      </c>
      <c r="F1337" s="86">
        <v>0</v>
      </c>
      <c r="G1337" s="86">
        <v>0</v>
      </c>
      <c r="H1337" s="86">
        <v>0</v>
      </c>
      <c r="I1337" s="86">
        <v>0</v>
      </c>
      <c r="J1337" s="86">
        <v>0</v>
      </c>
      <c r="K1337" s="86">
        <v>0</v>
      </c>
    </row>
    <row r="1338" spans="1:11" x14ac:dyDescent="0.45">
      <c r="A1338" s="90" t="s">
        <v>15</v>
      </c>
      <c r="B1338" s="86">
        <v>0</v>
      </c>
      <c r="C1338" s="86">
        <v>0</v>
      </c>
      <c r="D1338" s="86">
        <v>0</v>
      </c>
      <c r="E1338" s="86">
        <v>0</v>
      </c>
      <c r="F1338" s="86">
        <v>0</v>
      </c>
      <c r="G1338" s="86">
        <v>0</v>
      </c>
      <c r="H1338" s="86">
        <v>0</v>
      </c>
      <c r="I1338" s="86">
        <v>0</v>
      </c>
      <c r="J1338" s="86">
        <v>0</v>
      </c>
      <c r="K1338" s="86">
        <v>0</v>
      </c>
    </row>
    <row r="1339" spans="1:11" x14ac:dyDescent="0.45">
      <c r="A1339" s="90" t="s">
        <v>54</v>
      </c>
      <c r="B1339" s="86">
        <v>0</v>
      </c>
      <c r="C1339" s="86">
        <v>0</v>
      </c>
      <c r="D1339" s="86">
        <v>0</v>
      </c>
      <c r="E1339" s="86">
        <v>0</v>
      </c>
      <c r="F1339" s="86">
        <v>0</v>
      </c>
      <c r="G1339" s="86">
        <v>0</v>
      </c>
      <c r="H1339" s="86">
        <v>0</v>
      </c>
      <c r="I1339" s="86">
        <v>0</v>
      </c>
      <c r="J1339" s="86">
        <v>2</v>
      </c>
      <c r="K1339" s="86">
        <v>2</v>
      </c>
    </row>
    <row r="1340" spans="1:11" x14ac:dyDescent="0.45">
      <c r="A1340" s="90" t="s">
        <v>47</v>
      </c>
      <c r="B1340" s="86">
        <v>0</v>
      </c>
      <c r="C1340" s="86">
        <v>0</v>
      </c>
      <c r="D1340" s="86">
        <v>0</v>
      </c>
      <c r="E1340" s="86">
        <v>0</v>
      </c>
      <c r="F1340" s="86">
        <v>33</v>
      </c>
      <c r="G1340" s="86">
        <v>53</v>
      </c>
      <c r="H1340" s="86">
        <v>57</v>
      </c>
      <c r="I1340" s="86">
        <v>10</v>
      </c>
      <c r="J1340" s="86">
        <v>0</v>
      </c>
      <c r="K1340" s="86">
        <v>153</v>
      </c>
    </row>
    <row r="1341" spans="1:11" x14ac:dyDescent="0.45">
      <c r="A1341" s="90" t="s">
        <v>16</v>
      </c>
      <c r="B1341" s="86">
        <v>0</v>
      </c>
      <c r="C1341" s="86">
        <v>0</v>
      </c>
      <c r="D1341" s="86">
        <v>0</v>
      </c>
      <c r="E1341" s="86">
        <v>0</v>
      </c>
      <c r="F1341" s="86">
        <v>0</v>
      </c>
      <c r="G1341" s="86">
        <v>0</v>
      </c>
      <c r="H1341" s="86">
        <v>0</v>
      </c>
      <c r="I1341" s="86">
        <v>1</v>
      </c>
      <c r="J1341" s="86">
        <v>0</v>
      </c>
      <c r="K1341" s="86">
        <v>1</v>
      </c>
    </row>
    <row r="1342" spans="1:11" x14ac:dyDescent="0.45">
      <c r="A1342" s="90" t="s">
        <v>55</v>
      </c>
      <c r="B1342" s="86">
        <v>0</v>
      </c>
      <c r="C1342" s="86">
        <v>0</v>
      </c>
      <c r="D1342" s="86">
        <v>0</v>
      </c>
      <c r="E1342" s="86">
        <v>0</v>
      </c>
      <c r="F1342" s="86">
        <v>0</v>
      </c>
      <c r="G1342" s="86">
        <v>0</v>
      </c>
      <c r="H1342" s="86">
        <v>0</v>
      </c>
      <c r="I1342" s="86">
        <v>0</v>
      </c>
      <c r="J1342" s="86">
        <v>0</v>
      </c>
      <c r="K1342" s="86">
        <v>0</v>
      </c>
    </row>
    <row r="1343" spans="1:11" x14ac:dyDescent="0.45">
      <c r="A1343" s="90" t="s">
        <v>17</v>
      </c>
      <c r="B1343" s="86">
        <v>0</v>
      </c>
      <c r="C1343" s="86">
        <v>0</v>
      </c>
      <c r="D1343" s="86">
        <v>0</v>
      </c>
      <c r="E1343" s="86">
        <v>0</v>
      </c>
      <c r="F1343" s="86">
        <v>0</v>
      </c>
      <c r="G1343" s="86">
        <v>0</v>
      </c>
      <c r="H1343" s="86">
        <v>0</v>
      </c>
      <c r="I1343" s="86">
        <v>12</v>
      </c>
      <c r="J1343" s="86">
        <v>0</v>
      </c>
      <c r="K1343" s="86">
        <v>12</v>
      </c>
    </row>
    <row r="1344" spans="1:11" x14ac:dyDescent="0.45">
      <c r="A1344" s="170" t="s">
        <v>24</v>
      </c>
      <c r="B1344" s="160">
        <v>2</v>
      </c>
      <c r="C1344" s="160">
        <v>25</v>
      </c>
      <c r="D1344" s="160">
        <v>76</v>
      </c>
      <c r="E1344" s="160">
        <v>19</v>
      </c>
      <c r="F1344" s="160">
        <v>732</v>
      </c>
      <c r="G1344" s="160">
        <v>2422</v>
      </c>
      <c r="H1344" s="160">
        <v>995</v>
      </c>
      <c r="I1344" s="160">
        <v>617</v>
      </c>
      <c r="J1344" s="160">
        <v>67</v>
      </c>
      <c r="K1344" s="160">
        <v>4955</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Homer Spit 2019</vt:lpstr>
      <vt:lpstr>Anchor-Kasilof 2019</vt:lpstr>
      <vt:lpstr>Supplemental Data for 2019</vt:lpstr>
      <vt:lpstr>Supplemental Charts 2019</vt:lpstr>
      <vt:lpstr>Homer Spit All Years</vt:lpstr>
      <vt:lpstr>Anchor-Kasilof All Years</vt:lpstr>
      <vt:lpstr>Historic Comparison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George Matz</cp:lastModifiedBy>
  <cp:lastPrinted>2018-08-19T21:38:45Z</cp:lastPrinted>
  <dcterms:created xsi:type="dcterms:W3CDTF">2009-05-11T22:14:07Z</dcterms:created>
  <dcterms:modified xsi:type="dcterms:W3CDTF">2019-10-28T18:23:04Z</dcterms:modified>
</cp:coreProperties>
</file>